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te\Desktop\SEADPREV\IAPEP -  PICOS\ORÇAMENTO ATUALIZADO\"/>
    </mc:Choice>
  </mc:AlternateContent>
  <bookViews>
    <workbookView xWindow="0" yWindow="0" windowWidth="28800" windowHeight="12435" tabRatio="819"/>
  </bookViews>
  <sheets>
    <sheet name="DADOS" sheetId="1" r:id="rId1"/>
    <sheet name="RESUMO" sheetId="2" r:id="rId2"/>
    <sheet name="CRONOGRAMA" sheetId="3" r:id="rId3"/>
    <sheet name="ORCAMENTO" sheetId="4" r:id="rId4"/>
    <sheet name="MEMORIA" sheetId="5" r:id="rId5"/>
    <sheet name="COMPOSICAO" sheetId="6" r:id="rId6"/>
    <sheet name="COMPOSICAO_AUX_1" sheetId="7" state="hidden" r:id="rId7"/>
    <sheet name="COMPOSICAO_AUX_2" sheetId="8" state="hidden" r:id="rId8"/>
    <sheet name="COMPOSICAO_AUX_3" sheetId="9" state="hidden" r:id="rId9"/>
    <sheet name="COMPOSICAO_AUX_4" sheetId="10" state="hidden" r:id="rId10"/>
    <sheet name="COMPOSICAO_AUX_5" sheetId="11" state="hidden" r:id="rId11"/>
    <sheet name="ABCS" sheetId="12" r:id="rId12"/>
    <sheet name="QUAL. TEC." sheetId="17" r:id="rId13"/>
    <sheet name="BDI" sheetId="13" r:id="rId14"/>
    <sheet name="LS" sheetId="14" r:id="rId15"/>
    <sheet name="S" sheetId="15" state="hidden" r:id="rId16"/>
    <sheet name="I" sheetId="16" state="hidden" r:id="rId17"/>
  </sheets>
  <definedNames>
    <definedName name="_xlnm.Print_Area" localSheetId="13">BDI!$A$1:$K$38</definedName>
    <definedName name="_xlnm.Print_Area" localSheetId="5">COMPOSICAO!$A$1:$K$792</definedName>
    <definedName name="_xlnm.Print_Area" localSheetId="0">DADOS!$A$1:$K$15</definedName>
    <definedName name="_xlnm.Print_Area" localSheetId="4">MEMORIA!$A$1:$P$244</definedName>
    <definedName name="_xlnm.Print_Area" localSheetId="3">ORCAMENTO!$A$1:$L$105</definedName>
    <definedName name="BDI">DADOS!$K$5</definedName>
    <definedName name="CIDADE">DADOS!$A$1</definedName>
    <definedName name="FONTE">DADOS!$B$5</definedName>
    <definedName name="LEI">DADOS!$H$5</definedName>
    <definedName name="OBRA">DADOS!$A$2</definedName>
    <definedName name="ONERA">DADOS!$F$5</definedName>
    <definedName name="_xlnm.Print_Titles" localSheetId="11">ABCS!$1:$6</definedName>
    <definedName name="_xlnm.Print_Titles" localSheetId="5">COMPOSICAO!$1:$5</definedName>
    <definedName name="_xlnm.Print_Titles" localSheetId="4">MEMORIA!$1:$6</definedName>
    <definedName name="_xlnm.Print_Titles" localSheetId="3">ORCAMENTO!$1:$6</definedName>
  </definedNames>
  <calcPr calcId="152511"/>
</workbook>
</file>

<file path=xl/calcChain.xml><?xml version="1.0" encoding="utf-8"?>
<calcChain xmlns="http://schemas.openxmlformats.org/spreadsheetml/2006/main">
  <c r="B5" i="17" l="1"/>
  <c r="A2" i="17"/>
  <c r="A1" i="17"/>
  <c r="D350" i="16" l="1"/>
  <c r="D349" i="16"/>
  <c r="D348" i="16"/>
  <c r="D347" i="16"/>
  <c r="I354" i="6" s="1"/>
  <c r="D346" i="16"/>
  <c r="D345" i="16"/>
  <c r="I583" i="6" s="1"/>
  <c r="D344" i="16"/>
  <c r="D343" i="16"/>
  <c r="D342" i="16"/>
  <c r="D341" i="16"/>
  <c r="I32" i="6" s="1"/>
  <c r="D340" i="16"/>
  <c r="D339" i="16"/>
  <c r="I98" i="7" s="1"/>
  <c r="J98" i="7" s="1"/>
  <c r="D338" i="16"/>
  <c r="D337" i="16"/>
  <c r="D336" i="16"/>
  <c r="D335" i="16"/>
  <c r="I41" i="6" s="1"/>
  <c r="D334" i="16"/>
  <c r="D333" i="16"/>
  <c r="I810" i="7" s="1"/>
  <c r="J810" i="7" s="1"/>
  <c r="D332" i="16"/>
  <c r="D331" i="16"/>
  <c r="D330" i="16"/>
  <c r="D329" i="16"/>
  <c r="I595" i="6" s="1"/>
  <c r="D328" i="16"/>
  <c r="D327" i="16"/>
  <c r="I420" i="6" s="1"/>
  <c r="D326" i="16"/>
  <c r="D325" i="16"/>
  <c r="D324" i="16"/>
  <c r="D323" i="16"/>
  <c r="I230" i="7" s="1"/>
  <c r="J230" i="7" s="1"/>
  <c r="D322" i="16"/>
  <c r="D321" i="16"/>
  <c r="I647" i="6" s="1"/>
  <c r="D320" i="16"/>
  <c r="D319" i="16"/>
  <c r="D318" i="16"/>
  <c r="D317" i="16"/>
  <c r="I240" i="6" s="1"/>
  <c r="D316" i="16"/>
  <c r="D315" i="16"/>
  <c r="I945" i="7" s="1"/>
  <c r="J945" i="7" s="1"/>
  <c r="D314" i="16"/>
  <c r="D313" i="16"/>
  <c r="D312" i="16"/>
  <c r="D311" i="16"/>
  <c r="I1012" i="7" s="1"/>
  <c r="J1012" i="7" s="1"/>
  <c r="D310" i="16"/>
  <c r="D309" i="16"/>
  <c r="I154" i="8" s="1"/>
  <c r="J154" i="8" s="1"/>
  <c r="D308" i="16"/>
  <c r="D307" i="16"/>
  <c r="D306" i="16"/>
  <c r="D305" i="16"/>
  <c r="I156" i="8" s="1"/>
  <c r="J156" i="8" s="1"/>
  <c r="D304" i="16"/>
  <c r="D303" i="16"/>
  <c r="I597" i="6" s="1"/>
  <c r="D302" i="16"/>
  <c r="D301" i="16"/>
  <c r="D300" i="16"/>
  <c r="D299" i="16"/>
  <c r="I174" i="8" s="1"/>
  <c r="J174" i="8" s="1"/>
  <c r="D298" i="16"/>
  <c r="D297" i="16"/>
  <c r="I1396" i="7" s="1"/>
  <c r="J1396" i="7" s="1"/>
  <c r="D296" i="16"/>
  <c r="D295" i="16"/>
  <c r="D294" i="16"/>
  <c r="D293" i="16"/>
  <c r="I303" i="6" s="1"/>
  <c r="D292" i="16"/>
  <c r="D291" i="16"/>
  <c r="I89" i="6" s="1"/>
  <c r="D290" i="16"/>
  <c r="D289" i="16"/>
  <c r="D288" i="16"/>
  <c r="D287" i="16"/>
  <c r="I708" i="8" s="1"/>
  <c r="J708" i="8" s="1"/>
  <c r="D286" i="16"/>
  <c r="D285" i="16"/>
  <c r="I107" i="9" s="1"/>
  <c r="J107" i="9" s="1"/>
  <c r="D284" i="16"/>
  <c r="D283" i="16"/>
  <c r="D282" i="16"/>
  <c r="D281" i="16"/>
  <c r="I76" i="9" s="1"/>
  <c r="J76" i="9" s="1"/>
  <c r="D280" i="16"/>
  <c r="D279" i="16"/>
  <c r="I196" i="6" s="1"/>
  <c r="D278" i="16"/>
  <c r="D277" i="16"/>
  <c r="D276" i="16"/>
  <c r="D275" i="16"/>
  <c r="I786" i="6" s="1"/>
  <c r="D274" i="16"/>
  <c r="D273" i="16"/>
  <c r="I598" i="6" s="1"/>
  <c r="D272" i="16"/>
  <c r="D271" i="16"/>
  <c r="D270" i="16"/>
  <c r="D269" i="16"/>
  <c r="I710" i="7" s="1"/>
  <c r="J710" i="7" s="1"/>
  <c r="D268" i="16"/>
  <c r="D267" i="16"/>
  <c r="I616" i="6" s="1"/>
  <c r="D266" i="16"/>
  <c r="D265" i="16"/>
  <c r="D264" i="16"/>
  <c r="D263" i="16"/>
  <c r="I515" i="6" s="1"/>
  <c r="D262" i="16"/>
  <c r="I626" i="6" s="1"/>
  <c r="D261" i="16"/>
  <c r="I161" i="9" s="1"/>
  <c r="J161" i="9" s="1"/>
  <c r="D260" i="16"/>
  <c r="D259" i="16"/>
  <c r="D258" i="16"/>
  <c r="D257" i="16"/>
  <c r="I103" i="6" s="1"/>
  <c r="D256" i="16"/>
  <c r="D255" i="16"/>
  <c r="I217" i="6" s="1"/>
  <c r="D254" i="16"/>
  <c r="D253" i="16"/>
  <c r="D252" i="16"/>
  <c r="D251" i="16"/>
  <c r="I558" i="8" s="1"/>
  <c r="J558" i="8" s="1"/>
  <c r="D250" i="16"/>
  <c r="D249" i="16"/>
  <c r="I209" i="8" s="1"/>
  <c r="J209" i="8" s="1"/>
  <c r="D248" i="16"/>
  <c r="D247" i="16"/>
  <c r="D246" i="16"/>
  <c r="D245" i="16"/>
  <c r="I339" i="6" s="1"/>
  <c r="D244" i="16"/>
  <c r="D243" i="16"/>
  <c r="I37" i="6" s="1"/>
  <c r="D242" i="16"/>
  <c r="D241" i="16"/>
  <c r="D240" i="16"/>
  <c r="D239" i="16"/>
  <c r="I241" i="6" s="1"/>
  <c r="D238" i="16"/>
  <c r="D237" i="16"/>
  <c r="I353" i="6" s="1"/>
  <c r="D236" i="16"/>
  <c r="D235" i="16"/>
  <c r="D234" i="16"/>
  <c r="D233" i="16"/>
  <c r="I291" i="6" s="1"/>
  <c r="D232" i="16"/>
  <c r="D231" i="16"/>
  <c r="D230" i="16"/>
  <c r="D229" i="16"/>
  <c r="D228" i="16"/>
  <c r="I196" i="9" s="1"/>
  <c r="D227" i="16"/>
  <c r="I1235" i="7" s="1"/>
  <c r="J1235" i="7" s="1"/>
  <c r="D226" i="16"/>
  <c r="I488" i="6" s="1"/>
  <c r="D225" i="16"/>
  <c r="I624" i="7" s="1"/>
  <c r="J624" i="7" s="1"/>
  <c r="D224" i="16"/>
  <c r="D223" i="16"/>
  <c r="D222" i="16"/>
  <c r="D221" i="16"/>
  <c r="I292" i="6" s="1"/>
  <c r="D220" i="16"/>
  <c r="I93" i="7" s="1"/>
  <c r="J93" i="7" s="1"/>
  <c r="D219" i="16"/>
  <c r="I62" i="9" s="1"/>
  <c r="J62" i="9" s="1"/>
  <c r="D218" i="16"/>
  <c r="D217" i="16"/>
  <c r="D216" i="16"/>
  <c r="I391" i="9" s="1"/>
  <c r="D215" i="16"/>
  <c r="I457" i="9" s="1"/>
  <c r="J457" i="9" s="1"/>
  <c r="D214" i="16"/>
  <c r="D213" i="16"/>
  <c r="I759" i="8" s="1"/>
  <c r="J759" i="8" s="1"/>
  <c r="D212" i="16"/>
  <c r="D211" i="16"/>
  <c r="D210" i="16"/>
  <c r="D209" i="16"/>
  <c r="I18" i="8" s="1"/>
  <c r="J18" i="8" s="1"/>
  <c r="J19" i="8" s="1"/>
  <c r="D208" i="16"/>
  <c r="D207" i="16"/>
  <c r="I352" i="6" s="1"/>
  <c r="D206" i="16"/>
  <c r="D205" i="16"/>
  <c r="D204" i="16"/>
  <c r="I105" i="9" s="1"/>
  <c r="D203" i="16"/>
  <c r="I166" i="9" s="1"/>
  <c r="J166" i="9" s="1"/>
  <c r="D202" i="16"/>
  <c r="I13" i="10" s="1"/>
  <c r="J13" i="10" s="1"/>
  <c r="D201" i="16"/>
  <c r="I660" i="8" s="1"/>
  <c r="J660" i="8" s="1"/>
  <c r="J661" i="8" s="1"/>
  <c r="D200" i="16"/>
  <c r="D199" i="16"/>
  <c r="D198" i="16"/>
  <c r="D197" i="16"/>
  <c r="I108" i="9" s="1"/>
  <c r="J108" i="9" s="1"/>
  <c r="D196" i="16"/>
  <c r="D195" i="16"/>
  <c r="I190" i="7" s="1"/>
  <c r="J190" i="7" s="1"/>
  <c r="D194" i="16"/>
  <c r="D193" i="16"/>
  <c r="D192" i="16"/>
  <c r="D191" i="16"/>
  <c r="I358" i="7" s="1"/>
  <c r="J358" i="7" s="1"/>
  <c r="D190" i="16"/>
  <c r="D189" i="16"/>
  <c r="I779" i="6" s="1"/>
  <c r="D188" i="16"/>
  <c r="D187" i="16"/>
  <c r="D186" i="16"/>
  <c r="D185" i="16"/>
  <c r="I421" i="6" s="1"/>
  <c r="D184" i="16"/>
  <c r="D183" i="16"/>
  <c r="I148" i="8" s="1"/>
  <c r="J148" i="8" s="1"/>
  <c r="D182" i="16"/>
  <c r="D181" i="16"/>
  <c r="D180" i="16"/>
  <c r="D179" i="16"/>
  <c r="I754" i="6" s="1"/>
  <c r="D178" i="16"/>
  <c r="D177" i="16"/>
  <c r="I508" i="6" s="1"/>
  <c r="D176" i="16"/>
  <c r="D175" i="16"/>
  <c r="D174" i="16"/>
  <c r="D173" i="16"/>
  <c r="I492" i="6" s="1"/>
  <c r="D172" i="16"/>
  <c r="D171" i="16"/>
  <c r="I972" i="7" s="1"/>
  <c r="J972" i="7" s="1"/>
  <c r="D170" i="16"/>
  <c r="D169" i="16"/>
  <c r="D168" i="16"/>
  <c r="D167" i="16"/>
  <c r="I204" i="7" s="1"/>
  <c r="J204" i="7" s="1"/>
  <c r="J205" i="7" s="1"/>
  <c r="D166" i="16"/>
  <c r="D165" i="16"/>
  <c r="I1417" i="7" s="1"/>
  <c r="J1417" i="7" s="1"/>
  <c r="D164" i="16"/>
  <c r="D163" i="16"/>
  <c r="D162" i="16"/>
  <c r="D161" i="16"/>
  <c r="I249" i="7" s="1"/>
  <c r="J249" i="7" s="1"/>
  <c r="D160" i="16"/>
  <c r="D159" i="16"/>
  <c r="I366" i="9" s="1"/>
  <c r="J366" i="9" s="1"/>
  <c r="J367" i="9" s="1"/>
  <c r="D158" i="16"/>
  <c r="D157" i="16"/>
  <c r="D156" i="16"/>
  <c r="D155" i="16"/>
  <c r="I382" i="6" s="1"/>
  <c r="D154" i="16"/>
  <c r="D153" i="16"/>
  <c r="I602" i="6" s="1"/>
  <c r="D152" i="16"/>
  <c r="D151" i="16"/>
  <c r="D150" i="16"/>
  <c r="I67" i="10" s="1"/>
  <c r="D149" i="16"/>
  <c r="I30" i="6" s="1"/>
  <c r="D148" i="16"/>
  <c r="D147" i="16"/>
  <c r="I1036" i="7" s="1"/>
  <c r="J1036" i="7" s="1"/>
  <c r="D146" i="16"/>
  <c r="D145" i="16"/>
  <c r="D144" i="16"/>
  <c r="D143" i="16"/>
  <c r="I750" i="6" s="1"/>
  <c r="D142" i="16"/>
  <c r="D141" i="16"/>
  <c r="I66" i="7" s="1"/>
  <c r="J66" i="7" s="1"/>
  <c r="D140" i="16"/>
  <c r="D139" i="16"/>
  <c r="D138" i="16"/>
  <c r="D137" i="16"/>
  <c r="I11" i="7" s="1"/>
  <c r="J11" i="7" s="1"/>
  <c r="D136" i="16"/>
  <c r="D135" i="16"/>
  <c r="I675" i="8" s="1"/>
  <c r="J675" i="8" s="1"/>
  <c r="D134" i="16"/>
  <c r="D133" i="16"/>
  <c r="D132" i="16"/>
  <c r="D131" i="16"/>
  <c r="I78" i="9" s="1"/>
  <c r="J78" i="9" s="1"/>
  <c r="D130" i="16"/>
  <c r="D129" i="16"/>
  <c r="I200" i="6" s="1"/>
  <c r="D128" i="16"/>
  <c r="D127" i="16"/>
  <c r="D126" i="16"/>
  <c r="D125" i="16"/>
  <c r="I806" i="7" s="1"/>
  <c r="J806" i="7" s="1"/>
  <c r="D124" i="16"/>
  <c r="D123" i="16"/>
  <c r="I1085" i="7" s="1"/>
  <c r="J1085" i="7" s="1"/>
  <c r="D122" i="16"/>
  <c r="D121" i="16"/>
  <c r="D120" i="16"/>
  <c r="I417" i="9" s="1"/>
  <c r="D119" i="16"/>
  <c r="I795" i="7" s="1"/>
  <c r="J795" i="7" s="1"/>
  <c r="D118" i="16"/>
  <c r="D117" i="16"/>
  <c r="I607" i="8" s="1"/>
  <c r="J607" i="8" s="1"/>
  <c r="D116" i="16"/>
  <c r="D115" i="16"/>
  <c r="D114" i="16"/>
  <c r="D113" i="16"/>
  <c r="I829" i="8" s="1"/>
  <c r="J829" i="8" s="1"/>
  <c r="D112" i="16"/>
  <c r="D111" i="16"/>
  <c r="I8" i="8" s="1"/>
  <c r="J8" i="8" s="1"/>
  <c r="J9" i="8" s="1"/>
  <c r="D110" i="16"/>
  <c r="D109" i="16"/>
  <c r="D108" i="16"/>
  <c r="D107" i="16"/>
  <c r="I406" i="9" s="1"/>
  <c r="J406" i="9" s="1"/>
  <c r="J407" i="9" s="1"/>
  <c r="D106" i="16"/>
  <c r="D105" i="16"/>
  <c r="I705" i="6" s="1"/>
  <c r="D104" i="16"/>
  <c r="D103" i="16"/>
  <c r="D102" i="16"/>
  <c r="I443" i="9" s="1"/>
  <c r="D101" i="16"/>
  <c r="I666" i="6" s="1"/>
  <c r="D100" i="16"/>
  <c r="D99" i="16"/>
  <c r="I648" i="6" s="1"/>
  <c r="D98" i="16"/>
  <c r="D97" i="16"/>
  <c r="D96" i="16"/>
  <c r="D95" i="16"/>
  <c r="I46" i="10" s="1"/>
  <c r="J46" i="10" s="1"/>
  <c r="D94" i="16"/>
  <c r="D93" i="16"/>
  <c r="I1142" i="7" s="1"/>
  <c r="J1142" i="7" s="1"/>
  <c r="D92" i="16"/>
  <c r="D91" i="16"/>
  <c r="D90" i="16"/>
  <c r="D89" i="16"/>
  <c r="I158" i="7" s="1"/>
  <c r="J158" i="7" s="1"/>
  <c r="D88" i="16"/>
  <c r="D87" i="16"/>
  <c r="I94" i="8" s="1"/>
  <c r="J94" i="8" s="1"/>
  <c r="D85" i="16"/>
  <c r="D84" i="16"/>
  <c r="D82" i="16"/>
  <c r="D81" i="16"/>
  <c r="I121" i="6" s="1"/>
  <c r="D80" i="16"/>
  <c r="D79" i="16"/>
  <c r="I1345" i="7" s="1"/>
  <c r="J1345" i="7" s="1"/>
  <c r="D78" i="16"/>
  <c r="I101" i="9" s="1"/>
  <c r="D77" i="16"/>
  <c r="D76" i="16"/>
  <c r="D75" i="16"/>
  <c r="I555" i="8" s="1"/>
  <c r="J555" i="8" s="1"/>
  <c r="D74" i="16"/>
  <c r="D73" i="16"/>
  <c r="I155" i="9" s="1"/>
  <c r="J155" i="9" s="1"/>
  <c r="D72" i="16"/>
  <c r="I21" i="10" s="1"/>
  <c r="D71" i="16"/>
  <c r="D70" i="16"/>
  <c r="D69" i="16"/>
  <c r="I98" i="10" s="1"/>
  <c r="J98" i="10" s="1"/>
  <c r="D68" i="16"/>
  <c r="D67" i="16"/>
  <c r="I304" i="8" s="1"/>
  <c r="J304" i="8" s="1"/>
  <c r="D66" i="16"/>
  <c r="D65" i="16"/>
  <c r="D64" i="16"/>
  <c r="D63" i="16"/>
  <c r="I443" i="6" s="1"/>
  <c r="D62" i="16"/>
  <c r="D61" i="16"/>
  <c r="I214" i="6" s="1"/>
  <c r="D60" i="16"/>
  <c r="D59" i="16"/>
  <c r="D58" i="16"/>
  <c r="D57" i="16"/>
  <c r="I267" i="7" s="1"/>
  <c r="J267" i="7" s="1"/>
  <c r="D56" i="16"/>
  <c r="D55" i="16"/>
  <c r="I165" i="7" s="1"/>
  <c r="J165" i="7" s="1"/>
  <c r="D54" i="16"/>
  <c r="D53" i="16"/>
  <c r="D52" i="16"/>
  <c r="D51" i="16"/>
  <c r="I237" i="7" s="1"/>
  <c r="J237" i="7" s="1"/>
  <c r="D50" i="16"/>
  <c r="D49" i="16"/>
  <c r="I197" i="8" s="1"/>
  <c r="J197" i="8" s="1"/>
  <c r="D48" i="16"/>
  <c r="D47" i="16"/>
  <c r="D46" i="16"/>
  <c r="I185" i="10" s="1"/>
  <c r="J185" i="10" s="1"/>
  <c r="J186" i="10" s="1"/>
  <c r="I184" i="10" s="1"/>
  <c r="D45" i="16"/>
  <c r="I584" i="6" s="1"/>
  <c r="D44" i="16"/>
  <c r="D43" i="16"/>
  <c r="I401" i="9" s="1"/>
  <c r="J401" i="9" s="1"/>
  <c r="J402" i="9" s="1"/>
  <c r="D42" i="16"/>
  <c r="D41" i="16"/>
  <c r="D40" i="16"/>
  <c r="D39" i="16"/>
  <c r="I304" i="6" s="1"/>
  <c r="D38" i="16"/>
  <c r="D37" i="16"/>
  <c r="I185" i="9" s="1"/>
  <c r="J185" i="9" s="1"/>
  <c r="D36" i="16"/>
  <c r="D35" i="16"/>
  <c r="D34" i="16"/>
  <c r="D33" i="16"/>
  <c r="I90" i="10" s="1"/>
  <c r="J90" i="10" s="1"/>
  <c r="D32" i="16"/>
  <c r="D31" i="16"/>
  <c r="I295" i="6" s="1"/>
  <c r="D30" i="16"/>
  <c r="D29" i="16"/>
  <c r="D28" i="16"/>
  <c r="D27" i="16"/>
  <c r="I83" i="10" s="1"/>
  <c r="J83" i="10" s="1"/>
  <c r="D26" i="16"/>
  <c r="D25" i="16"/>
  <c r="I1344" i="7" s="1"/>
  <c r="J1344" i="7" s="1"/>
  <c r="D24" i="16"/>
  <c r="D23" i="16"/>
  <c r="D22" i="16"/>
  <c r="D21" i="16"/>
  <c r="I1289" i="7" s="1"/>
  <c r="J1289" i="7" s="1"/>
  <c r="D20" i="16"/>
  <c r="D19" i="16"/>
  <c r="I145" i="10" s="1"/>
  <c r="J145" i="10" s="1"/>
  <c r="J146" i="10" s="1"/>
  <c r="I144" i="10" s="1"/>
  <c r="D18" i="16"/>
  <c r="D17" i="16"/>
  <c r="D16" i="16"/>
  <c r="D15" i="16"/>
  <c r="I446" i="6" s="1"/>
  <c r="D14" i="16"/>
  <c r="D13" i="16"/>
  <c r="I444" i="6" s="1"/>
  <c r="D12" i="16"/>
  <c r="D11" i="16"/>
  <c r="D10" i="16"/>
  <c r="D9" i="16"/>
  <c r="I100" i="8" s="1"/>
  <c r="J100" i="8" s="1"/>
  <c r="D8" i="16"/>
  <c r="D7" i="16"/>
  <c r="I499" i="8" s="1"/>
  <c r="J499" i="8" s="1"/>
  <c r="D6" i="16"/>
  <c r="D5" i="16"/>
  <c r="D4" i="16"/>
  <c r="D3" i="16"/>
  <c r="I1082" i="7" s="1"/>
  <c r="J1082" i="7" s="1"/>
  <c r="D2" i="16"/>
  <c r="D319" i="15"/>
  <c r="L316" i="9" s="1"/>
  <c r="D318" i="15"/>
  <c r="L311" i="9" s="1"/>
  <c r="D317" i="15"/>
  <c r="D316" i="15"/>
  <c r="D315" i="15"/>
  <c r="L524" i="8" s="1"/>
  <c r="D314" i="15"/>
  <c r="D313" i="15"/>
  <c r="L581" i="6" s="1"/>
  <c r="D312" i="15"/>
  <c r="D311" i="15"/>
  <c r="D310" i="15"/>
  <c r="D309" i="15"/>
  <c r="L1222" i="7" s="1"/>
  <c r="D308" i="15"/>
  <c r="D307" i="15"/>
  <c r="L1176" i="7" s="1"/>
  <c r="D306" i="15"/>
  <c r="D305" i="15"/>
  <c r="D304" i="15"/>
  <c r="D303" i="15"/>
  <c r="L741" i="6" s="1"/>
  <c r="D302" i="15"/>
  <c r="D301" i="15"/>
  <c r="L227" i="6" s="1"/>
  <c r="D300" i="15"/>
  <c r="D299" i="15"/>
  <c r="D298" i="15"/>
  <c r="D297" i="15"/>
  <c r="L1158" i="7" s="1"/>
  <c r="D296" i="15"/>
  <c r="D295" i="15"/>
  <c r="L1010" i="7" s="1"/>
  <c r="D294" i="15"/>
  <c r="D293" i="15"/>
  <c r="D292" i="15"/>
  <c r="D291" i="15"/>
  <c r="L895" i="7" s="1"/>
  <c r="D290" i="15"/>
  <c r="D289" i="15"/>
  <c r="L1395" i="7" s="1"/>
  <c r="D288" i="15"/>
  <c r="D287" i="15"/>
  <c r="D286" i="15"/>
  <c r="D285" i="15"/>
  <c r="L139" i="10" s="1"/>
  <c r="D284" i="15"/>
  <c r="D283" i="15"/>
  <c r="L129" i="10" s="1"/>
  <c r="D282" i="15"/>
  <c r="D281" i="15"/>
  <c r="D280" i="15"/>
  <c r="D279" i="15"/>
  <c r="L689" i="7" s="1"/>
  <c r="D278" i="15"/>
  <c r="D277" i="15"/>
  <c r="L698" i="7" s="1"/>
  <c r="D276" i="15"/>
  <c r="D275" i="15"/>
  <c r="D274" i="15"/>
  <c r="D273" i="15"/>
  <c r="L248" i="8" s="1"/>
  <c r="D272" i="15"/>
  <c r="D271" i="15"/>
  <c r="L78" i="7" s="1"/>
  <c r="D270" i="15"/>
  <c r="D269" i="15"/>
  <c r="D268" i="15"/>
  <c r="L514" i="6" s="1"/>
  <c r="D267" i="15"/>
  <c r="L155" i="7" s="1"/>
  <c r="D266" i="15"/>
  <c r="D265" i="15"/>
  <c r="L236" i="7" s="1"/>
  <c r="D264" i="15"/>
  <c r="D263" i="15"/>
  <c r="D262" i="15"/>
  <c r="D261" i="15"/>
  <c r="L749" i="6" s="1"/>
  <c r="D260" i="15"/>
  <c r="D259" i="15"/>
  <c r="L486" i="6" s="1"/>
  <c r="D258" i="15"/>
  <c r="D257" i="15"/>
  <c r="D256" i="15"/>
  <c r="D255" i="15"/>
  <c r="L512" i="8" s="1"/>
  <c r="D254" i="15"/>
  <c r="D253" i="15"/>
  <c r="L1265" i="7" s="1"/>
  <c r="D252" i="15"/>
  <c r="L321" i="9" s="1"/>
  <c r="D251" i="15"/>
  <c r="D250" i="15"/>
  <c r="D249" i="15"/>
  <c r="L34" i="8" s="1"/>
  <c r="D248" i="15"/>
  <c r="D247" i="15"/>
  <c r="L284" i="8" s="1"/>
  <c r="D246" i="15"/>
  <c r="D245" i="15"/>
  <c r="D244" i="15"/>
  <c r="D243" i="15"/>
  <c r="L355" i="7" s="1"/>
  <c r="D242" i="15"/>
  <c r="D241" i="15"/>
  <c r="L399" i="7" s="1"/>
  <c r="D240" i="15"/>
  <c r="D239" i="15"/>
  <c r="D238" i="15"/>
  <c r="D237" i="15"/>
  <c r="L1437" i="7" s="1"/>
  <c r="D236" i="15"/>
  <c r="D235" i="15"/>
  <c r="L728" i="7" s="1"/>
  <c r="D234" i="15"/>
  <c r="D233" i="15"/>
  <c r="D232" i="15"/>
  <c r="D231" i="15"/>
  <c r="L1241" i="7" s="1"/>
  <c r="D230" i="15"/>
  <c r="D229" i="15"/>
  <c r="L1195" i="7" s="1"/>
  <c r="D228" i="15"/>
  <c r="D227" i="15"/>
  <c r="D226" i="15"/>
  <c r="D225" i="15"/>
  <c r="L72" i="6" s="1"/>
  <c r="D224" i="15"/>
  <c r="D223" i="15"/>
  <c r="L29" i="6" s="1"/>
  <c r="D222" i="15"/>
  <c r="D221" i="15"/>
  <c r="D220" i="15"/>
  <c r="D219" i="15"/>
  <c r="L37" i="9" s="1"/>
  <c r="D218" i="15"/>
  <c r="D217" i="15"/>
  <c r="L507" i="7" s="1"/>
  <c r="D216" i="15"/>
  <c r="D215" i="15"/>
  <c r="D214" i="15"/>
  <c r="D213" i="15"/>
  <c r="L832" i="7" s="1"/>
  <c r="D212" i="15"/>
  <c r="D211" i="15"/>
  <c r="L970" i="7" s="1"/>
  <c r="D210" i="15"/>
  <c r="D209" i="15"/>
  <c r="D208" i="15"/>
  <c r="D207" i="15"/>
  <c r="L1186" i="7" s="1"/>
  <c r="D206" i="15"/>
  <c r="D205" i="15"/>
  <c r="L1409" i="7" s="1"/>
  <c r="D204" i="15"/>
  <c r="D203" i="15"/>
  <c r="D202" i="15"/>
  <c r="D201" i="15"/>
  <c r="L621" i="7" s="1"/>
  <c r="D200" i="15"/>
  <c r="D199" i="15"/>
  <c r="L184" i="6" s="1"/>
  <c r="D198" i="15"/>
  <c r="D197" i="15"/>
  <c r="D196" i="15"/>
  <c r="D195" i="15"/>
  <c r="L370" i="9" s="1"/>
  <c r="D194" i="15"/>
  <c r="D193" i="15"/>
  <c r="L365" i="9" s="1"/>
  <c r="D192" i="15"/>
  <c r="D191" i="15"/>
  <c r="D190" i="15"/>
  <c r="D189" i="15"/>
  <c r="L622" i="8" s="1"/>
  <c r="D188" i="15"/>
  <c r="D187" i="15"/>
  <c r="L612" i="8" s="1"/>
  <c r="D186" i="15"/>
  <c r="D185" i="15"/>
  <c r="D184" i="15"/>
  <c r="D183" i="15"/>
  <c r="L1020" i="7" s="1"/>
  <c r="D182" i="15"/>
  <c r="D181" i="15"/>
  <c r="L563" i="6" s="1"/>
  <c r="D180" i="15"/>
  <c r="D179" i="15"/>
  <c r="D178" i="15"/>
  <c r="D177" i="15"/>
  <c r="L1055" i="7" s="1"/>
  <c r="D176" i="15"/>
  <c r="D175" i="15"/>
  <c r="L1388" i="7" s="1"/>
  <c r="D174" i="15"/>
  <c r="D173" i="15"/>
  <c r="D172" i="15"/>
  <c r="D171" i="15"/>
  <c r="L193" i="6" s="1"/>
  <c r="D170" i="15"/>
  <c r="D169" i="15"/>
  <c r="L370" i="8" s="1"/>
  <c r="D168" i="15"/>
  <c r="D167" i="15"/>
  <c r="D166" i="15"/>
  <c r="D165" i="15"/>
  <c r="L322" i="6" s="1"/>
  <c r="D164" i="15"/>
  <c r="D163" i="15"/>
  <c r="L1297" i="7" s="1"/>
  <c r="D162" i="15"/>
  <c r="D161" i="15"/>
  <c r="D160" i="15"/>
  <c r="D159" i="15"/>
  <c r="L7" i="7" s="1"/>
  <c r="D158" i="15"/>
  <c r="D157" i="15"/>
  <c r="L49" i="9" s="1"/>
  <c r="D156" i="15"/>
  <c r="D155" i="15"/>
  <c r="D154" i="15"/>
  <c r="D153" i="15"/>
  <c r="L1331" i="7" s="1"/>
  <c r="D152" i="15"/>
  <c r="D151" i="15"/>
  <c r="L71" i="9" s="1"/>
  <c r="D150" i="15"/>
  <c r="D149" i="15"/>
  <c r="D148" i="15"/>
  <c r="D147" i="15"/>
  <c r="L704" i="6" s="1"/>
  <c r="D146" i="15"/>
  <c r="D145" i="15"/>
  <c r="L822" i="8" s="1"/>
  <c r="D144" i="15"/>
  <c r="D143" i="15"/>
  <c r="D142" i="15"/>
  <c r="D141" i="15"/>
  <c r="L636" i="6" s="1"/>
  <c r="D140" i="15"/>
  <c r="D139" i="15"/>
  <c r="L656" i="6" s="1"/>
  <c r="D138" i="15"/>
  <c r="D137" i="15"/>
  <c r="D136" i="15"/>
  <c r="D135" i="15"/>
  <c r="L632" i="8" s="1"/>
  <c r="D134" i="15"/>
  <c r="D133" i="15"/>
  <c r="L664" i="8" s="1"/>
  <c r="D132" i="15"/>
  <c r="L296" i="9" s="1"/>
  <c r="D131" i="15"/>
  <c r="L7" i="11" s="1"/>
  <c r="D130" i="15"/>
  <c r="D129" i="15"/>
  <c r="L390" i="9" s="1"/>
  <c r="D128" i="15"/>
  <c r="D127" i="15"/>
  <c r="L202" i="9" s="1"/>
  <c r="D126" i="15"/>
  <c r="D125" i="15"/>
  <c r="D124" i="15"/>
  <c r="D123" i="15"/>
  <c r="L263" i="8" s="1"/>
  <c r="D122" i="15"/>
  <c r="D121" i="15"/>
  <c r="L7" i="8" s="1"/>
  <c r="D120" i="15"/>
  <c r="D119" i="15"/>
  <c r="D118" i="15"/>
  <c r="D117" i="15"/>
  <c r="L217" i="9" s="1"/>
  <c r="D116" i="15"/>
  <c r="D115" i="15"/>
  <c r="L400" i="9" s="1"/>
  <c r="D114" i="15"/>
  <c r="L447" i="9" s="1"/>
  <c r="D113" i="15"/>
  <c r="D112" i="15"/>
  <c r="D111" i="15"/>
  <c r="L212" i="9" s="1"/>
  <c r="D110" i="15"/>
  <c r="D109" i="15"/>
  <c r="L80" i="6" s="1"/>
  <c r="D108" i="15"/>
  <c r="D107" i="15"/>
  <c r="D106" i="15"/>
  <c r="D105" i="15"/>
  <c r="L452" i="8" s="1"/>
  <c r="D104" i="15"/>
  <c r="D103" i="15"/>
  <c r="L445" i="8" s="1"/>
  <c r="D102" i="15"/>
  <c r="D101" i="15"/>
  <c r="D100" i="15"/>
  <c r="D99" i="15"/>
  <c r="L466" i="8" s="1"/>
  <c r="D98" i="15"/>
  <c r="D97" i="15"/>
  <c r="L198" i="7" s="1"/>
  <c r="D96" i="15"/>
  <c r="D95" i="15"/>
  <c r="D94" i="15"/>
  <c r="D93" i="15"/>
  <c r="L257" i="8" s="1"/>
  <c r="D92" i="15"/>
  <c r="D91" i="15"/>
  <c r="L37" i="7" s="1"/>
  <c r="D90" i="15"/>
  <c r="D89" i="15"/>
  <c r="D88" i="15"/>
  <c r="D87" i="15"/>
  <c r="L331" i="8" s="1"/>
  <c r="D86" i="15"/>
  <c r="D85" i="15"/>
  <c r="L327" i="7" s="1"/>
  <c r="D84" i="15"/>
  <c r="D83" i="15"/>
  <c r="D82" i="15"/>
  <c r="D81" i="15"/>
  <c r="L1042" i="7" s="1"/>
  <c r="D80" i="15"/>
  <c r="D79" i="15"/>
  <c r="L868" i="7" s="1"/>
  <c r="D78" i="15"/>
  <c r="D77" i="15"/>
  <c r="D76" i="15"/>
  <c r="D75" i="15"/>
  <c r="L279" i="8" s="1"/>
  <c r="D74" i="15"/>
  <c r="D73" i="15"/>
  <c r="L302" i="8" s="1"/>
  <c r="D72" i="15"/>
  <c r="D71" i="15"/>
  <c r="D70" i="15"/>
  <c r="D69" i="15"/>
  <c r="L319" i="7" s="1"/>
  <c r="D68" i="15"/>
  <c r="D67" i="15"/>
  <c r="L217" i="7" s="1"/>
  <c r="D66" i="15"/>
  <c r="D65" i="15"/>
  <c r="D64" i="15"/>
  <c r="D63" i="15"/>
  <c r="L674" i="6" s="1"/>
  <c r="D62" i="15"/>
  <c r="D61" i="15"/>
  <c r="L694" i="6" s="1"/>
  <c r="D60" i="15"/>
  <c r="L437" i="9" s="1"/>
  <c r="D59" i="15"/>
  <c r="D58" i="15"/>
  <c r="D57" i="15"/>
  <c r="L422" i="9" s="1"/>
  <c r="D56" i="15"/>
  <c r="D55" i="15"/>
  <c r="L806" i="8" s="1"/>
  <c r="D54" i="15"/>
  <c r="L189" i="10" s="1"/>
  <c r="D53" i="15"/>
  <c r="L184" i="10" s="1"/>
  <c r="D52" i="15"/>
  <c r="L179" i="10" s="1"/>
  <c r="D51" i="15"/>
  <c r="L174" i="10" s="1"/>
  <c r="D50" i="15"/>
  <c r="D49" i="15"/>
  <c r="L472" i="9" s="1"/>
  <c r="D48" i="15"/>
  <c r="D47" i="15"/>
  <c r="D46" i="15"/>
  <c r="D45" i="15"/>
  <c r="L834" i="8" s="1"/>
  <c r="D44" i="15"/>
  <c r="D43" i="15"/>
  <c r="L284" i="9" s="1"/>
  <c r="D42" i="15"/>
  <c r="D41" i="15"/>
  <c r="D40" i="15"/>
  <c r="D39" i="15"/>
  <c r="L472" i="7" s="1"/>
  <c r="D38" i="15"/>
  <c r="D37" i="15"/>
  <c r="L454" i="7" s="1"/>
  <c r="D36" i="15"/>
  <c r="D35" i="15"/>
  <c r="D34" i="15"/>
  <c r="D33" i="15"/>
  <c r="L498" i="7" s="1"/>
  <c r="D32" i="15"/>
  <c r="D31" i="15"/>
  <c r="L525" i="7" s="1"/>
  <c r="D30" i="15"/>
  <c r="D29" i="15"/>
  <c r="D28" i="15"/>
  <c r="D27" i="15"/>
  <c r="L548" i="7" s="1"/>
  <c r="D26" i="15"/>
  <c r="D25" i="15"/>
  <c r="L693" i="8" s="1"/>
  <c r="D24" i="15"/>
  <c r="D23" i="15"/>
  <c r="D22" i="15"/>
  <c r="D21" i="15"/>
  <c r="L137" i="9" s="1"/>
  <c r="D20" i="15"/>
  <c r="D19" i="15"/>
  <c r="L785" i="8" s="1"/>
  <c r="D18" i="15"/>
  <c r="D17" i="15"/>
  <c r="D16" i="15"/>
  <c r="D15" i="15"/>
  <c r="L238" i="6" s="1"/>
  <c r="D14" i="15"/>
  <c r="D13" i="15"/>
  <c r="D12" i="15"/>
  <c r="D11" i="15"/>
  <c r="D10" i="15"/>
  <c r="L272" i="9" s="1"/>
  <c r="D9" i="15"/>
  <c r="L885" i="7" s="1"/>
  <c r="D8" i="15"/>
  <c r="D7" i="15"/>
  <c r="L1081" i="7" s="1"/>
  <c r="D6" i="15"/>
  <c r="D5" i="15"/>
  <c r="D4" i="15"/>
  <c r="D3" i="15"/>
  <c r="L538" i="6" s="1"/>
  <c r="D2" i="15"/>
  <c r="B5" i="14"/>
  <c r="A2" i="14"/>
  <c r="A1" i="14"/>
  <c r="J16" i="13"/>
  <c r="B5" i="13"/>
  <c r="A2" i="13"/>
  <c r="A1" i="13"/>
  <c r="B5" i="12"/>
  <c r="A2" i="12"/>
  <c r="A1" i="12"/>
  <c r="I8" i="11"/>
  <c r="J8" i="11" s="1"/>
  <c r="J9" i="11" s="1"/>
  <c r="G8" i="11"/>
  <c r="C8" i="11"/>
  <c r="G7" i="11"/>
  <c r="C7" i="11"/>
  <c r="B5" i="11"/>
  <c r="A2" i="11"/>
  <c r="A1" i="11"/>
  <c r="I190" i="10"/>
  <c r="G190" i="10"/>
  <c r="C190" i="10"/>
  <c r="G189" i="10"/>
  <c r="C189" i="10"/>
  <c r="G185" i="10"/>
  <c r="C185" i="10"/>
  <c r="G184" i="10"/>
  <c r="C184" i="10"/>
  <c r="I180" i="10"/>
  <c r="J180" i="10" s="1"/>
  <c r="J181" i="10" s="1"/>
  <c r="I179" i="10" s="1"/>
  <c r="G180" i="10"/>
  <c r="C180" i="10"/>
  <c r="G179" i="10"/>
  <c r="C179" i="10"/>
  <c r="I175" i="10"/>
  <c r="J175" i="10" s="1"/>
  <c r="J176" i="10" s="1"/>
  <c r="I174" i="10" s="1"/>
  <c r="G175" i="10"/>
  <c r="C175" i="10"/>
  <c r="G174" i="10"/>
  <c r="C174" i="10"/>
  <c r="G170" i="10"/>
  <c r="C170" i="10"/>
  <c r="L169" i="10"/>
  <c r="G169" i="10"/>
  <c r="C169" i="10"/>
  <c r="I165" i="10"/>
  <c r="J165" i="10" s="1"/>
  <c r="J166" i="10" s="1"/>
  <c r="I164" i="10" s="1"/>
  <c r="G165" i="10"/>
  <c r="C165" i="10"/>
  <c r="L164" i="10"/>
  <c r="G164" i="10"/>
  <c r="C164" i="10"/>
  <c r="I160" i="10"/>
  <c r="J160" i="10" s="1"/>
  <c r="J161" i="10" s="1"/>
  <c r="I159" i="10" s="1"/>
  <c r="G160" i="10"/>
  <c r="C160" i="10"/>
  <c r="L159" i="10"/>
  <c r="G159" i="10"/>
  <c r="C159" i="10"/>
  <c r="I155" i="10"/>
  <c r="J155" i="10" s="1"/>
  <c r="J156" i="10" s="1"/>
  <c r="I154" i="10" s="1"/>
  <c r="G155" i="10"/>
  <c r="C155" i="10"/>
  <c r="L154" i="10"/>
  <c r="G154" i="10"/>
  <c r="C154" i="10"/>
  <c r="I150" i="10"/>
  <c r="J150" i="10" s="1"/>
  <c r="J151" i="10" s="1"/>
  <c r="I149" i="10" s="1"/>
  <c r="G150" i="10"/>
  <c r="C150" i="10"/>
  <c r="L149" i="10"/>
  <c r="G149" i="10"/>
  <c r="C149" i="10"/>
  <c r="G145" i="10"/>
  <c r="C145" i="10"/>
  <c r="L144" i="10"/>
  <c r="G144" i="10"/>
  <c r="C144" i="10"/>
  <c r="I140" i="10"/>
  <c r="J140" i="10" s="1"/>
  <c r="J141" i="10" s="1"/>
  <c r="I139" i="10" s="1"/>
  <c r="G140" i="10"/>
  <c r="C140" i="10"/>
  <c r="G139" i="10"/>
  <c r="C139" i="10"/>
  <c r="I135" i="10"/>
  <c r="J135" i="10" s="1"/>
  <c r="J136" i="10" s="1"/>
  <c r="I134" i="10" s="1"/>
  <c r="G135" i="10"/>
  <c r="C135" i="10"/>
  <c r="L134" i="10"/>
  <c r="G134" i="10"/>
  <c r="C134" i="10"/>
  <c r="I130" i="10"/>
  <c r="J130" i="10" s="1"/>
  <c r="J131" i="10" s="1"/>
  <c r="I129" i="10" s="1"/>
  <c r="G130" i="10"/>
  <c r="C130" i="10"/>
  <c r="G129" i="10"/>
  <c r="C129" i="10"/>
  <c r="I125" i="10"/>
  <c r="J125" i="10" s="1"/>
  <c r="J126" i="10" s="1"/>
  <c r="I124" i="10" s="1"/>
  <c r="G125" i="10"/>
  <c r="C125" i="10"/>
  <c r="G124" i="10"/>
  <c r="C124" i="10"/>
  <c r="G120" i="10"/>
  <c r="C120" i="10"/>
  <c r="G119" i="10"/>
  <c r="C119" i="10"/>
  <c r="I118" i="10"/>
  <c r="J118" i="10" s="1"/>
  <c r="G118" i="10"/>
  <c r="C118" i="10"/>
  <c r="I117" i="10"/>
  <c r="J117" i="10" s="1"/>
  <c r="G117" i="10"/>
  <c r="C117" i="10"/>
  <c r="I116" i="10"/>
  <c r="J116" i="10" s="1"/>
  <c r="G116" i="10"/>
  <c r="C116" i="10"/>
  <c r="I115" i="10"/>
  <c r="J115" i="10" s="1"/>
  <c r="G115" i="10"/>
  <c r="C115" i="10"/>
  <c r="I114" i="10"/>
  <c r="J114" i="10" s="1"/>
  <c r="G114" i="10"/>
  <c r="C114" i="10"/>
  <c r="I113" i="10"/>
  <c r="J113" i="10" s="1"/>
  <c r="G113" i="10"/>
  <c r="C113" i="10"/>
  <c r="L112" i="10"/>
  <c r="G112" i="10"/>
  <c r="C112" i="10"/>
  <c r="I108" i="10"/>
  <c r="J108" i="10" s="1"/>
  <c r="J109" i="10" s="1"/>
  <c r="I107" i="10" s="1"/>
  <c r="G108" i="10"/>
  <c r="C108" i="10"/>
  <c r="G107" i="10"/>
  <c r="C107" i="10"/>
  <c r="I103" i="10"/>
  <c r="G103" i="10"/>
  <c r="C103" i="10"/>
  <c r="G102" i="10"/>
  <c r="C102" i="10"/>
  <c r="G98" i="10"/>
  <c r="C98" i="10"/>
  <c r="I97" i="10"/>
  <c r="J97" i="10" s="1"/>
  <c r="G97" i="10"/>
  <c r="C97" i="10"/>
  <c r="G96" i="10"/>
  <c r="C96" i="10"/>
  <c r="G95" i="10"/>
  <c r="C95" i="10"/>
  <c r="I94" i="10"/>
  <c r="J94" i="10" s="1"/>
  <c r="G94" i="10"/>
  <c r="C94" i="10"/>
  <c r="I93" i="10"/>
  <c r="J93" i="10" s="1"/>
  <c r="G93" i="10"/>
  <c r="C93" i="10"/>
  <c r="I92" i="10"/>
  <c r="J92" i="10" s="1"/>
  <c r="G92" i="10"/>
  <c r="C92" i="10"/>
  <c r="I91" i="10"/>
  <c r="J91" i="10" s="1"/>
  <c r="G91" i="10"/>
  <c r="C91" i="10"/>
  <c r="G90" i="10"/>
  <c r="C90" i="10"/>
  <c r="G89" i="10"/>
  <c r="C89" i="10"/>
  <c r="G88" i="10"/>
  <c r="C88" i="10"/>
  <c r="G87" i="10"/>
  <c r="C87" i="10"/>
  <c r="G86" i="10"/>
  <c r="C86" i="10"/>
  <c r="G85" i="10"/>
  <c r="C85" i="10"/>
  <c r="G84" i="10"/>
  <c r="C84" i="10"/>
  <c r="G83" i="10"/>
  <c r="C83" i="10"/>
  <c r="G82" i="10"/>
  <c r="C82" i="10"/>
  <c r="G78" i="10"/>
  <c r="C78" i="10"/>
  <c r="I77" i="10"/>
  <c r="J77" i="10" s="1"/>
  <c r="G77" i="10"/>
  <c r="C77" i="10"/>
  <c r="G76" i="10"/>
  <c r="C76" i="10"/>
  <c r="G75" i="10"/>
  <c r="C75" i="10"/>
  <c r="G74" i="10"/>
  <c r="C74" i="10"/>
  <c r="I73" i="10"/>
  <c r="J73" i="10" s="1"/>
  <c r="G73" i="10"/>
  <c r="C73" i="10"/>
  <c r="I72" i="10"/>
  <c r="G72" i="10"/>
  <c r="C72" i="10"/>
  <c r="I71" i="10"/>
  <c r="J71" i="10" s="1"/>
  <c r="G71" i="10"/>
  <c r="C71" i="10"/>
  <c r="I70" i="10"/>
  <c r="J70" i="10" s="1"/>
  <c r="G70" i="10"/>
  <c r="C70" i="10"/>
  <c r="I69" i="10"/>
  <c r="J69" i="10" s="1"/>
  <c r="G69" i="10"/>
  <c r="C69" i="10"/>
  <c r="I68" i="10"/>
  <c r="J68" i="10" s="1"/>
  <c r="G68" i="10"/>
  <c r="C68" i="10"/>
  <c r="G67" i="10"/>
  <c r="C67" i="10"/>
  <c r="G66" i="10"/>
  <c r="C66" i="10"/>
  <c r="G65" i="10"/>
  <c r="C65" i="10"/>
  <c r="G64" i="10"/>
  <c r="C64" i="10"/>
  <c r="G63" i="10"/>
  <c r="C63" i="10"/>
  <c r="I62" i="10"/>
  <c r="J62" i="10" s="1"/>
  <c r="G62" i="10"/>
  <c r="C62" i="10"/>
  <c r="G61" i="10"/>
  <c r="C61" i="10"/>
  <c r="I60" i="10"/>
  <c r="J60" i="10" s="1"/>
  <c r="G60" i="10"/>
  <c r="C60" i="10"/>
  <c r="G59" i="10"/>
  <c r="C59" i="10"/>
  <c r="L58" i="10"/>
  <c r="G58" i="10"/>
  <c r="C58" i="10"/>
  <c r="G54" i="10"/>
  <c r="C54" i="10"/>
  <c r="I53" i="10"/>
  <c r="J53" i="10" s="1"/>
  <c r="G53" i="10"/>
  <c r="C53" i="10"/>
  <c r="G52" i="10"/>
  <c r="C52" i="10"/>
  <c r="G51" i="10"/>
  <c r="C51" i="10"/>
  <c r="I50" i="10"/>
  <c r="J50" i="10" s="1"/>
  <c r="G50" i="10"/>
  <c r="C50" i="10"/>
  <c r="G49" i="10"/>
  <c r="C49" i="10"/>
  <c r="I48" i="10"/>
  <c r="J48" i="10" s="1"/>
  <c r="G48" i="10"/>
  <c r="C48" i="10"/>
  <c r="I47" i="10"/>
  <c r="J47" i="10" s="1"/>
  <c r="G47" i="10"/>
  <c r="C47" i="10"/>
  <c r="G46" i="10"/>
  <c r="C46" i="10"/>
  <c r="I45" i="10"/>
  <c r="J45" i="10" s="1"/>
  <c r="G45" i="10"/>
  <c r="C45" i="10"/>
  <c r="G44" i="10"/>
  <c r="C44" i="10"/>
  <c r="I43" i="10"/>
  <c r="J43" i="10" s="1"/>
  <c r="G43" i="10"/>
  <c r="C43" i="10"/>
  <c r="I42" i="10"/>
  <c r="J42" i="10" s="1"/>
  <c r="G42" i="10"/>
  <c r="C42" i="10"/>
  <c r="I41" i="10"/>
  <c r="J41" i="10" s="1"/>
  <c r="G41" i="10"/>
  <c r="C41" i="10"/>
  <c r="I40" i="10"/>
  <c r="J40" i="10" s="1"/>
  <c r="G40" i="10"/>
  <c r="C40" i="10"/>
  <c r="G39" i="10"/>
  <c r="C39" i="10"/>
  <c r="G38" i="10"/>
  <c r="C38" i="10"/>
  <c r="G37" i="10"/>
  <c r="C37" i="10"/>
  <c r="I36" i="10"/>
  <c r="J36" i="10" s="1"/>
  <c r="G36" i="10"/>
  <c r="C36" i="10"/>
  <c r="I35" i="10"/>
  <c r="J35" i="10" s="1"/>
  <c r="G35" i="10"/>
  <c r="C35" i="10"/>
  <c r="I34" i="10"/>
  <c r="J34" i="10" s="1"/>
  <c r="G34" i="10"/>
  <c r="C34" i="10"/>
  <c r="I33" i="10"/>
  <c r="J33" i="10" s="1"/>
  <c r="G33" i="10"/>
  <c r="C33" i="10"/>
  <c r="G32" i="10"/>
  <c r="C32" i="10"/>
  <c r="I31" i="10"/>
  <c r="G31" i="10"/>
  <c r="C31" i="10"/>
  <c r="G30" i="10"/>
  <c r="C30" i="10"/>
  <c r="L29" i="10"/>
  <c r="G29" i="10"/>
  <c r="C29" i="10"/>
  <c r="G25" i="10"/>
  <c r="C25" i="10"/>
  <c r="I24" i="10"/>
  <c r="G24" i="10"/>
  <c r="C24" i="10"/>
  <c r="G23" i="10"/>
  <c r="C23" i="10"/>
  <c r="G22" i="10"/>
  <c r="C22" i="10"/>
  <c r="G21" i="10"/>
  <c r="C21" i="10"/>
  <c r="G20" i="10"/>
  <c r="C20" i="10"/>
  <c r="I19" i="10"/>
  <c r="J19" i="10" s="1"/>
  <c r="G19" i="10"/>
  <c r="C19" i="10"/>
  <c r="I18" i="10"/>
  <c r="J18" i="10" s="1"/>
  <c r="G18" i="10"/>
  <c r="C18" i="10"/>
  <c r="I17" i="10"/>
  <c r="J17" i="10" s="1"/>
  <c r="G17" i="10"/>
  <c r="C17" i="10"/>
  <c r="G16" i="10"/>
  <c r="C16" i="10"/>
  <c r="G15" i="10"/>
  <c r="C15" i="10"/>
  <c r="G14" i="10"/>
  <c r="C14" i="10"/>
  <c r="G13" i="10"/>
  <c r="C13" i="10"/>
  <c r="I12" i="10"/>
  <c r="J12" i="10" s="1"/>
  <c r="G12" i="10"/>
  <c r="C12" i="10"/>
  <c r="G11" i="10"/>
  <c r="C11" i="10"/>
  <c r="G10" i="10"/>
  <c r="C10" i="10"/>
  <c r="G9" i="10"/>
  <c r="C9" i="10"/>
  <c r="G8" i="10"/>
  <c r="C8" i="10"/>
  <c r="G7" i="10"/>
  <c r="C7" i="10"/>
  <c r="B5" i="10"/>
  <c r="A2" i="10"/>
  <c r="A1" i="10"/>
  <c r="G474" i="9"/>
  <c r="C474" i="9"/>
  <c r="G473" i="9"/>
  <c r="C473" i="9"/>
  <c r="G472" i="9"/>
  <c r="C472" i="9"/>
  <c r="G468" i="9"/>
  <c r="C468" i="9"/>
  <c r="G467" i="9"/>
  <c r="C467" i="9"/>
  <c r="G466" i="9"/>
  <c r="C466" i="9"/>
  <c r="G465" i="9"/>
  <c r="C465" i="9"/>
  <c r="L464" i="9"/>
  <c r="G464" i="9"/>
  <c r="C464" i="9"/>
  <c r="G460" i="9"/>
  <c r="C460" i="9"/>
  <c r="G459" i="9"/>
  <c r="C459" i="9"/>
  <c r="G458" i="9"/>
  <c r="C458" i="9"/>
  <c r="G457" i="9"/>
  <c r="C457" i="9"/>
  <c r="I456" i="9"/>
  <c r="J456" i="9" s="1"/>
  <c r="G456" i="9"/>
  <c r="C456" i="9"/>
  <c r="I455" i="9"/>
  <c r="G455" i="9"/>
  <c r="C455" i="9"/>
  <c r="I454" i="9"/>
  <c r="J454" i="9" s="1"/>
  <c r="G454" i="9"/>
  <c r="C454" i="9"/>
  <c r="I453" i="9"/>
  <c r="G453" i="9"/>
  <c r="C453" i="9"/>
  <c r="G452" i="9"/>
  <c r="C452" i="9"/>
  <c r="I448" i="9"/>
  <c r="J448" i="9" s="1"/>
  <c r="J449" i="9" s="1"/>
  <c r="I447" i="9" s="1"/>
  <c r="M447" i="9" s="1"/>
  <c r="G448" i="9"/>
  <c r="C448" i="9"/>
  <c r="G447" i="9"/>
  <c r="C447" i="9"/>
  <c r="G443" i="9"/>
  <c r="C443" i="9"/>
  <c r="L442" i="9"/>
  <c r="G442" i="9"/>
  <c r="C442" i="9"/>
  <c r="I438" i="9"/>
  <c r="J438" i="9" s="1"/>
  <c r="J439" i="9" s="1"/>
  <c r="G438" i="9"/>
  <c r="C438" i="9"/>
  <c r="G437" i="9"/>
  <c r="C437" i="9"/>
  <c r="I433" i="9"/>
  <c r="J433" i="9" s="1"/>
  <c r="J434" i="9" s="1"/>
  <c r="I432" i="9" s="1"/>
  <c r="G433" i="9"/>
  <c r="C433" i="9"/>
  <c r="L432" i="9"/>
  <c r="G432" i="9"/>
  <c r="C432" i="9"/>
  <c r="I428" i="9"/>
  <c r="J428" i="9" s="1"/>
  <c r="J429" i="9" s="1"/>
  <c r="G428" i="9"/>
  <c r="C428" i="9"/>
  <c r="L427" i="9"/>
  <c r="G427" i="9"/>
  <c r="C427" i="9"/>
  <c r="I423" i="9"/>
  <c r="J423" i="9" s="1"/>
  <c r="J424" i="9" s="1"/>
  <c r="G423" i="9"/>
  <c r="C423" i="9"/>
  <c r="G422" i="9"/>
  <c r="C422" i="9"/>
  <c r="G418" i="9"/>
  <c r="C418" i="9"/>
  <c r="G417" i="9"/>
  <c r="C417" i="9"/>
  <c r="G416" i="9"/>
  <c r="C416" i="9"/>
  <c r="I415" i="9"/>
  <c r="J415" i="9" s="1"/>
  <c r="G415" i="9"/>
  <c r="C415" i="9"/>
  <c r="I414" i="9"/>
  <c r="J414" i="9" s="1"/>
  <c r="G414" i="9"/>
  <c r="C414" i="9"/>
  <c r="I413" i="9"/>
  <c r="J413" i="9" s="1"/>
  <c r="G413" i="9"/>
  <c r="C413" i="9"/>
  <c r="I412" i="9"/>
  <c r="J412" i="9" s="1"/>
  <c r="G412" i="9"/>
  <c r="C412" i="9"/>
  <c r="I411" i="9"/>
  <c r="J411" i="9" s="1"/>
  <c r="G411" i="9"/>
  <c r="C411" i="9"/>
  <c r="L410" i="9"/>
  <c r="G410" i="9"/>
  <c r="C410" i="9"/>
  <c r="G406" i="9"/>
  <c r="C406" i="9"/>
  <c r="L405" i="9"/>
  <c r="G405" i="9"/>
  <c r="C405" i="9"/>
  <c r="G401" i="9"/>
  <c r="C401" i="9"/>
  <c r="G400" i="9"/>
  <c r="C400" i="9"/>
  <c r="I396" i="9"/>
  <c r="J396" i="9" s="1"/>
  <c r="J397" i="9" s="1"/>
  <c r="G396" i="9"/>
  <c r="C396" i="9"/>
  <c r="L395" i="9"/>
  <c r="G395" i="9"/>
  <c r="C395" i="9"/>
  <c r="G391" i="9"/>
  <c r="C391" i="9"/>
  <c r="G390" i="9"/>
  <c r="C390" i="9"/>
  <c r="G386" i="9"/>
  <c r="C386" i="9"/>
  <c r="L385" i="9"/>
  <c r="G385" i="9"/>
  <c r="C385" i="9"/>
  <c r="I381" i="9"/>
  <c r="J381" i="9" s="1"/>
  <c r="J382" i="9" s="1"/>
  <c r="G381" i="9"/>
  <c r="C381" i="9"/>
  <c r="L380" i="9"/>
  <c r="G380" i="9"/>
  <c r="C380" i="9"/>
  <c r="G376" i="9"/>
  <c r="C376" i="9"/>
  <c r="L375" i="9"/>
  <c r="G375" i="9"/>
  <c r="C375" i="9"/>
  <c r="G371" i="9"/>
  <c r="C371" i="9"/>
  <c r="G370" i="9"/>
  <c r="C370" i="9"/>
  <c r="G366" i="9"/>
  <c r="C366" i="9"/>
  <c r="G365" i="9"/>
  <c r="C365" i="9"/>
  <c r="G361" i="9"/>
  <c r="C361" i="9"/>
  <c r="G360" i="9"/>
  <c r="C360" i="9"/>
  <c r="G359" i="9"/>
  <c r="C359" i="9"/>
  <c r="I358" i="9"/>
  <c r="J358" i="9" s="1"/>
  <c r="G358" i="9"/>
  <c r="C358" i="9"/>
  <c r="I357" i="9"/>
  <c r="J357" i="9" s="1"/>
  <c r="G357" i="9"/>
  <c r="C357" i="9"/>
  <c r="I356" i="9"/>
  <c r="J356" i="9" s="1"/>
  <c r="G356" i="9"/>
  <c r="C356" i="9"/>
  <c r="I355" i="9"/>
  <c r="J355" i="9" s="1"/>
  <c r="G355" i="9"/>
  <c r="C355" i="9"/>
  <c r="I354" i="9"/>
  <c r="J354" i="9" s="1"/>
  <c r="G354" i="9"/>
  <c r="C354" i="9"/>
  <c r="L353" i="9"/>
  <c r="G353" i="9"/>
  <c r="C353" i="9"/>
  <c r="I349" i="9"/>
  <c r="J349" i="9" s="1"/>
  <c r="J350" i="9" s="1"/>
  <c r="G349" i="9"/>
  <c r="C349" i="9"/>
  <c r="G348" i="9"/>
  <c r="C348" i="9"/>
  <c r="I344" i="9"/>
  <c r="J344" i="9" s="1"/>
  <c r="J345" i="9" s="1"/>
  <c r="G344" i="9"/>
  <c r="C344" i="9"/>
  <c r="L343" i="9"/>
  <c r="G343" i="9"/>
  <c r="C343" i="9"/>
  <c r="I339" i="9"/>
  <c r="J339" i="9" s="1"/>
  <c r="J340" i="9" s="1"/>
  <c r="G339" i="9"/>
  <c r="C339" i="9"/>
  <c r="G338" i="9"/>
  <c r="C338" i="9"/>
  <c r="I334" i="9"/>
  <c r="J334" i="9" s="1"/>
  <c r="J335" i="9" s="1"/>
  <c r="I333" i="9" s="1"/>
  <c r="G334" i="9"/>
  <c r="C334" i="9"/>
  <c r="G333" i="9"/>
  <c r="C333" i="9"/>
  <c r="G329" i="9"/>
  <c r="C329" i="9"/>
  <c r="G328" i="9"/>
  <c r="C328" i="9"/>
  <c r="G327" i="9"/>
  <c r="C327" i="9"/>
  <c r="I326" i="9"/>
  <c r="J326" i="9" s="1"/>
  <c r="G326" i="9"/>
  <c r="C326" i="9"/>
  <c r="I325" i="9"/>
  <c r="J325" i="9" s="1"/>
  <c r="G325" i="9"/>
  <c r="C325" i="9"/>
  <c r="I324" i="9"/>
  <c r="J324" i="9" s="1"/>
  <c r="G324" i="9"/>
  <c r="C324" i="9"/>
  <c r="I323" i="9"/>
  <c r="J323" i="9" s="1"/>
  <c r="G323" i="9"/>
  <c r="C323" i="9"/>
  <c r="I322" i="9"/>
  <c r="J322" i="9" s="1"/>
  <c r="G322" i="9"/>
  <c r="C322" i="9"/>
  <c r="G321" i="9"/>
  <c r="C321" i="9"/>
  <c r="I317" i="9"/>
  <c r="J317" i="9" s="1"/>
  <c r="J318" i="9" s="1"/>
  <c r="G317" i="9"/>
  <c r="C317" i="9"/>
  <c r="G316" i="9"/>
  <c r="C316" i="9"/>
  <c r="I312" i="9"/>
  <c r="J312" i="9" s="1"/>
  <c r="J313" i="9" s="1"/>
  <c r="G312" i="9"/>
  <c r="C312" i="9"/>
  <c r="G311" i="9"/>
  <c r="C311" i="9"/>
  <c r="I307" i="9"/>
  <c r="J307" i="9" s="1"/>
  <c r="J308" i="9" s="1"/>
  <c r="G307" i="9"/>
  <c r="C307" i="9"/>
  <c r="L306" i="9"/>
  <c r="G306" i="9"/>
  <c r="C306" i="9"/>
  <c r="I302" i="9"/>
  <c r="J302" i="9" s="1"/>
  <c r="J303" i="9" s="1"/>
  <c r="G302" i="9"/>
  <c r="C302" i="9"/>
  <c r="L301" i="9"/>
  <c r="G301" i="9"/>
  <c r="C301" i="9"/>
  <c r="I297" i="9"/>
  <c r="J297" i="9" s="1"/>
  <c r="J298" i="9" s="1"/>
  <c r="G297" i="9"/>
  <c r="C297" i="9"/>
  <c r="G296" i="9"/>
  <c r="C296" i="9"/>
  <c r="G292" i="9"/>
  <c r="C292" i="9"/>
  <c r="I291" i="9"/>
  <c r="J291" i="9" s="1"/>
  <c r="G291" i="9"/>
  <c r="C291" i="9"/>
  <c r="I290" i="9"/>
  <c r="G290" i="9"/>
  <c r="C290" i="9"/>
  <c r="I289" i="9"/>
  <c r="J289" i="9" s="1"/>
  <c r="G289" i="9"/>
  <c r="C289" i="9"/>
  <c r="I288" i="9"/>
  <c r="G288" i="9"/>
  <c r="C288" i="9"/>
  <c r="I287" i="9"/>
  <c r="J287" i="9" s="1"/>
  <c r="G287" i="9"/>
  <c r="C287" i="9"/>
  <c r="I286" i="9"/>
  <c r="G286" i="9"/>
  <c r="C286" i="9"/>
  <c r="I285" i="9"/>
  <c r="J285" i="9" s="1"/>
  <c r="G285" i="9"/>
  <c r="C285" i="9"/>
  <c r="G284" i="9"/>
  <c r="C284" i="9"/>
  <c r="G280" i="9"/>
  <c r="C280" i="9"/>
  <c r="I279" i="9"/>
  <c r="J279" i="9" s="1"/>
  <c r="G279" i="9"/>
  <c r="C279" i="9"/>
  <c r="I278" i="9"/>
  <c r="J278" i="9" s="1"/>
  <c r="G278" i="9"/>
  <c r="C278" i="9"/>
  <c r="I277" i="9"/>
  <c r="J277" i="9" s="1"/>
  <c r="G277" i="9"/>
  <c r="C277" i="9"/>
  <c r="I276" i="9"/>
  <c r="J276" i="9" s="1"/>
  <c r="G276" i="9"/>
  <c r="C276" i="9"/>
  <c r="I275" i="9"/>
  <c r="G275" i="9"/>
  <c r="C275" i="9"/>
  <c r="I274" i="9"/>
  <c r="J274" i="9" s="1"/>
  <c r="G274" i="9"/>
  <c r="C274" i="9"/>
  <c r="G273" i="9"/>
  <c r="C273" i="9"/>
  <c r="G272" i="9"/>
  <c r="C272" i="9"/>
  <c r="I268" i="9"/>
  <c r="J268" i="9" s="1"/>
  <c r="J269" i="9" s="1"/>
  <c r="G268" i="9"/>
  <c r="C268" i="9"/>
  <c r="L267" i="9"/>
  <c r="G267" i="9"/>
  <c r="C267" i="9"/>
  <c r="G263" i="9"/>
  <c r="C263" i="9"/>
  <c r="L262" i="9"/>
  <c r="G262" i="9"/>
  <c r="C262" i="9"/>
  <c r="G258" i="9"/>
  <c r="C258" i="9"/>
  <c r="G257" i="9"/>
  <c r="C257" i="9"/>
  <c r="G256" i="9"/>
  <c r="C256" i="9"/>
  <c r="L255" i="9"/>
  <c r="G255" i="9"/>
  <c r="C255" i="9"/>
  <c r="G251" i="9"/>
  <c r="C251" i="9"/>
  <c r="G250" i="9"/>
  <c r="C250" i="9"/>
  <c r="G249" i="9"/>
  <c r="C249" i="9"/>
  <c r="G248" i="9"/>
  <c r="C248" i="9"/>
  <c r="G247" i="9"/>
  <c r="C247" i="9"/>
  <c r="L246" i="9"/>
  <c r="G246" i="9"/>
  <c r="C246" i="9"/>
  <c r="G242" i="9"/>
  <c r="C242" i="9"/>
  <c r="I241" i="9"/>
  <c r="J241" i="9" s="1"/>
  <c r="G241" i="9"/>
  <c r="C241" i="9"/>
  <c r="I240" i="9"/>
  <c r="J240" i="9" s="1"/>
  <c r="G240" i="9"/>
  <c r="C240" i="9"/>
  <c r="I239" i="9"/>
  <c r="J239" i="9" s="1"/>
  <c r="G239" i="9"/>
  <c r="C239" i="9"/>
  <c r="I238" i="9"/>
  <c r="J238" i="9" s="1"/>
  <c r="G238" i="9"/>
  <c r="C238" i="9"/>
  <c r="I237" i="9"/>
  <c r="J237" i="9" s="1"/>
  <c r="G237" i="9"/>
  <c r="C237" i="9"/>
  <c r="I236" i="9"/>
  <c r="J236" i="9" s="1"/>
  <c r="G236" i="9"/>
  <c r="C236" i="9"/>
  <c r="I235" i="9"/>
  <c r="G235" i="9"/>
  <c r="C235" i="9"/>
  <c r="L234" i="9"/>
  <c r="G234" i="9"/>
  <c r="C234" i="9"/>
  <c r="G230" i="9"/>
  <c r="C230" i="9"/>
  <c r="I229" i="9"/>
  <c r="J229" i="9" s="1"/>
  <c r="G229" i="9"/>
  <c r="C229" i="9"/>
  <c r="I228" i="9"/>
  <c r="J228" i="9" s="1"/>
  <c r="G228" i="9"/>
  <c r="C228" i="9"/>
  <c r="I227" i="9"/>
  <c r="J227" i="9" s="1"/>
  <c r="G227" i="9"/>
  <c r="C227" i="9"/>
  <c r="I226" i="9"/>
  <c r="J226" i="9" s="1"/>
  <c r="G226" i="9"/>
  <c r="C226" i="9"/>
  <c r="I225" i="9"/>
  <c r="J225" i="9" s="1"/>
  <c r="G225" i="9"/>
  <c r="C225" i="9"/>
  <c r="I224" i="9"/>
  <c r="J224" i="9" s="1"/>
  <c r="G224" i="9"/>
  <c r="C224" i="9"/>
  <c r="I223" i="9"/>
  <c r="J223" i="9" s="1"/>
  <c r="G223" i="9"/>
  <c r="C223" i="9"/>
  <c r="L222" i="9"/>
  <c r="G222" i="9"/>
  <c r="C222" i="9"/>
  <c r="I218" i="9"/>
  <c r="J218" i="9" s="1"/>
  <c r="J219" i="9" s="1"/>
  <c r="G218" i="9"/>
  <c r="C218" i="9"/>
  <c r="G217" i="9"/>
  <c r="C217" i="9"/>
  <c r="I213" i="9"/>
  <c r="J213" i="9" s="1"/>
  <c r="J214" i="9" s="1"/>
  <c r="G213" i="9"/>
  <c r="C213" i="9"/>
  <c r="G212" i="9"/>
  <c r="C212" i="9"/>
  <c r="I208" i="9"/>
  <c r="J208" i="9" s="1"/>
  <c r="J209" i="9" s="1"/>
  <c r="I322" i="8" s="1"/>
  <c r="J322" i="8" s="1"/>
  <c r="G208" i="9"/>
  <c r="C208" i="9"/>
  <c r="L207" i="9"/>
  <c r="G207" i="9"/>
  <c r="C207" i="9"/>
  <c r="I203" i="9"/>
  <c r="J203" i="9" s="1"/>
  <c r="J204" i="9" s="1"/>
  <c r="G203" i="9"/>
  <c r="C203" i="9"/>
  <c r="G202" i="9"/>
  <c r="C202" i="9"/>
  <c r="G198" i="9"/>
  <c r="C198" i="9"/>
  <c r="I197" i="9"/>
  <c r="J197" i="9" s="1"/>
  <c r="G197" i="9"/>
  <c r="C197" i="9"/>
  <c r="G196" i="9"/>
  <c r="C196" i="9"/>
  <c r="I195" i="9"/>
  <c r="J195" i="9" s="1"/>
  <c r="G195" i="9"/>
  <c r="C195" i="9"/>
  <c r="I194" i="9"/>
  <c r="J194" i="9" s="1"/>
  <c r="G194" i="9"/>
  <c r="C194" i="9"/>
  <c r="I193" i="9"/>
  <c r="J193" i="9" s="1"/>
  <c r="G193" i="9"/>
  <c r="C193" i="9"/>
  <c r="L192" i="9"/>
  <c r="G192" i="9"/>
  <c r="C192" i="9"/>
  <c r="G188" i="9"/>
  <c r="C188" i="9"/>
  <c r="I187" i="9"/>
  <c r="J187" i="9" s="1"/>
  <c r="G187" i="9"/>
  <c r="C187" i="9"/>
  <c r="I186" i="9"/>
  <c r="J186" i="9" s="1"/>
  <c r="G186" i="9"/>
  <c r="C186" i="9"/>
  <c r="G185" i="9"/>
  <c r="C185" i="9"/>
  <c r="I184" i="9"/>
  <c r="J184" i="9" s="1"/>
  <c r="G184" i="9"/>
  <c r="C184" i="9"/>
  <c r="L183" i="9"/>
  <c r="G183" i="9"/>
  <c r="C183" i="9"/>
  <c r="G179" i="9"/>
  <c r="C179" i="9"/>
  <c r="I178" i="9"/>
  <c r="J178" i="9" s="1"/>
  <c r="G178" i="9"/>
  <c r="C178" i="9"/>
  <c r="I177" i="9"/>
  <c r="G177" i="9"/>
  <c r="C177" i="9"/>
  <c r="G176" i="9"/>
  <c r="C176" i="9"/>
  <c r="G175" i="9"/>
  <c r="C175" i="9"/>
  <c r="G171" i="9"/>
  <c r="C171" i="9"/>
  <c r="I170" i="9"/>
  <c r="G170" i="9"/>
  <c r="C170" i="9"/>
  <c r="G169" i="9"/>
  <c r="C169" i="9"/>
  <c r="G168" i="9"/>
  <c r="C168" i="9"/>
  <c r="I167" i="9"/>
  <c r="J167" i="9" s="1"/>
  <c r="G167" i="9"/>
  <c r="C167" i="9"/>
  <c r="G166" i="9"/>
  <c r="C166" i="9"/>
  <c r="I165" i="9"/>
  <c r="J165" i="9" s="1"/>
  <c r="G165" i="9"/>
  <c r="C165" i="9"/>
  <c r="I164" i="9"/>
  <c r="G164" i="9"/>
  <c r="C164" i="9"/>
  <c r="G163" i="9"/>
  <c r="C163" i="9"/>
  <c r="I162" i="9"/>
  <c r="G162" i="9"/>
  <c r="C162" i="9"/>
  <c r="G161" i="9"/>
  <c r="C161" i="9"/>
  <c r="I160" i="9"/>
  <c r="J160" i="9" s="1"/>
  <c r="G160" i="9"/>
  <c r="C160" i="9"/>
  <c r="I159" i="9"/>
  <c r="J159" i="9" s="1"/>
  <c r="G159" i="9"/>
  <c r="C159" i="9"/>
  <c r="I158" i="9"/>
  <c r="J158" i="9" s="1"/>
  <c r="G158" i="9"/>
  <c r="C158" i="9"/>
  <c r="I157" i="9"/>
  <c r="J157" i="9" s="1"/>
  <c r="G157" i="9"/>
  <c r="C157" i="9"/>
  <c r="G156" i="9"/>
  <c r="C156" i="9"/>
  <c r="G155" i="9"/>
  <c r="C155" i="9"/>
  <c r="G154" i="9"/>
  <c r="C154" i="9"/>
  <c r="I153" i="9"/>
  <c r="J153" i="9" s="1"/>
  <c r="G153" i="9"/>
  <c r="C153" i="9"/>
  <c r="I152" i="9"/>
  <c r="G152" i="9"/>
  <c r="C152" i="9"/>
  <c r="I151" i="9"/>
  <c r="J151" i="9" s="1"/>
  <c r="G151" i="9"/>
  <c r="C151" i="9"/>
  <c r="I150" i="9"/>
  <c r="J150" i="9" s="1"/>
  <c r="G150" i="9"/>
  <c r="C150" i="9"/>
  <c r="G149" i="9"/>
  <c r="C149" i="9"/>
  <c r="I148" i="9"/>
  <c r="G148" i="9"/>
  <c r="C148" i="9"/>
  <c r="G147" i="9"/>
  <c r="C147" i="9"/>
  <c r="L146" i="9"/>
  <c r="G146" i="9"/>
  <c r="C146" i="9"/>
  <c r="G142" i="9"/>
  <c r="C142" i="9"/>
  <c r="I141" i="9"/>
  <c r="J141" i="9" s="1"/>
  <c r="G141" i="9"/>
  <c r="C141" i="9"/>
  <c r="I140" i="9"/>
  <c r="J140" i="9" s="1"/>
  <c r="G140" i="9"/>
  <c r="C140" i="9"/>
  <c r="I139" i="9"/>
  <c r="J139" i="9" s="1"/>
  <c r="G139" i="9"/>
  <c r="C139" i="9"/>
  <c r="I138" i="9"/>
  <c r="J138" i="9" s="1"/>
  <c r="G138" i="9"/>
  <c r="C138" i="9"/>
  <c r="G137" i="9"/>
  <c r="C137" i="9"/>
  <c r="G133" i="9"/>
  <c r="C133" i="9"/>
  <c r="G132" i="9"/>
  <c r="C132" i="9"/>
  <c r="G131" i="9"/>
  <c r="C131" i="9"/>
  <c r="G130" i="9"/>
  <c r="C130" i="9"/>
  <c r="I129" i="9"/>
  <c r="J129" i="9" s="1"/>
  <c r="G129" i="9"/>
  <c r="C129" i="9"/>
  <c r="I128" i="9"/>
  <c r="J128" i="9" s="1"/>
  <c r="G128" i="9"/>
  <c r="C128" i="9"/>
  <c r="I127" i="9"/>
  <c r="J127" i="9" s="1"/>
  <c r="G127" i="9"/>
  <c r="C127" i="9"/>
  <c r="I126" i="9"/>
  <c r="J126" i="9" s="1"/>
  <c r="G126" i="9"/>
  <c r="C126" i="9"/>
  <c r="L125" i="9"/>
  <c r="G125" i="9"/>
  <c r="C125" i="9"/>
  <c r="G121" i="9"/>
  <c r="C121" i="9"/>
  <c r="I120" i="9"/>
  <c r="J120" i="9" s="1"/>
  <c r="G120" i="9"/>
  <c r="C120" i="9"/>
  <c r="I119" i="9"/>
  <c r="J119" i="9" s="1"/>
  <c r="G119" i="9"/>
  <c r="C119" i="9"/>
  <c r="I118" i="9"/>
  <c r="J118" i="9" s="1"/>
  <c r="G118" i="9"/>
  <c r="C118" i="9"/>
  <c r="I117" i="9"/>
  <c r="J117" i="9" s="1"/>
  <c r="G117" i="9"/>
  <c r="C117" i="9"/>
  <c r="I116" i="9"/>
  <c r="J116" i="9" s="1"/>
  <c r="G116" i="9"/>
  <c r="C116" i="9"/>
  <c r="L115" i="9"/>
  <c r="G115" i="9"/>
  <c r="C115" i="9"/>
  <c r="G111" i="9"/>
  <c r="C111" i="9"/>
  <c r="I110" i="9"/>
  <c r="G110" i="9"/>
  <c r="C110" i="9"/>
  <c r="G109" i="9"/>
  <c r="C109" i="9"/>
  <c r="G108" i="9"/>
  <c r="C108" i="9"/>
  <c r="G107" i="9"/>
  <c r="C107" i="9"/>
  <c r="I106" i="9"/>
  <c r="G106" i="9"/>
  <c r="C106" i="9"/>
  <c r="G105" i="9"/>
  <c r="C105" i="9"/>
  <c r="I104" i="9"/>
  <c r="G104" i="9"/>
  <c r="C104" i="9"/>
  <c r="I103" i="9"/>
  <c r="J103" i="9" s="1"/>
  <c r="G103" i="9"/>
  <c r="C103" i="9"/>
  <c r="I102" i="9"/>
  <c r="J102" i="9" s="1"/>
  <c r="G102" i="9"/>
  <c r="C102" i="9"/>
  <c r="G101" i="9"/>
  <c r="C101" i="9"/>
  <c r="I100" i="9"/>
  <c r="J100" i="9" s="1"/>
  <c r="G100" i="9"/>
  <c r="C100" i="9"/>
  <c r="G99" i="9"/>
  <c r="C99" i="9"/>
  <c r="G98" i="9"/>
  <c r="C98" i="9"/>
  <c r="G97" i="9"/>
  <c r="C97" i="9"/>
  <c r="G96" i="9"/>
  <c r="C96" i="9"/>
  <c r="I95" i="9"/>
  <c r="J95" i="9" s="1"/>
  <c r="G95" i="9"/>
  <c r="C95" i="9"/>
  <c r="G94" i="9"/>
  <c r="C94" i="9"/>
  <c r="I93" i="9"/>
  <c r="J93" i="9" s="1"/>
  <c r="G93" i="9"/>
  <c r="C93" i="9"/>
  <c r="G92" i="9"/>
  <c r="C92" i="9"/>
  <c r="L91" i="9"/>
  <c r="G91" i="9"/>
  <c r="C91" i="9"/>
  <c r="G87" i="9"/>
  <c r="C87" i="9"/>
  <c r="I86" i="9"/>
  <c r="J86" i="9" s="1"/>
  <c r="G86" i="9"/>
  <c r="C86" i="9"/>
  <c r="G85" i="9"/>
  <c r="C85" i="9"/>
  <c r="G84" i="9"/>
  <c r="C84" i="9"/>
  <c r="I83" i="9"/>
  <c r="J83" i="9" s="1"/>
  <c r="G83" i="9"/>
  <c r="C83" i="9"/>
  <c r="I82" i="9"/>
  <c r="J82" i="9" s="1"/>
  <c r="G82" i="9"/>
  <c r="C82" i="9"/>
  <c r="I81" i="9"/>
  <c r="J81" i="9" s="1"/>
  <c r="G81" i="9"/>
  <c r="C81" i="9"/>
  <c r="I80" i="9"/>
  <c r="J80" i="9" s="1"/>
  <c r="G80" i="9"/>
  <c r="C80" i="9"/>
  <c r="G79" i="9"/>
  <c r="C79" i="9"/>
  <c r="G78" i="9"/>
  <c r="C78" i="9"/>
  <c r="G77" i="9"/>
  <c r="C77" i="9"/>
  <c r="G76" i="9"/>
  <c r="C76" i="9"/>
  <c r="I75" i="9"/>
  <c r="J75" i="9" s="1"/>
  <c r="G75" i="9"/>
  <c r="C75" i="9"/>
  <c r="G74" i="9"/>
  <c r="C74" i="9"/>
  <c r="I73" i="9"/>
  <c r="J73" i="9" s="1"/>
  <c r="G73" i="9"/>
  <c r="C73" i="9"/>
  <c r="G72" i="9"/>
  <c r="C72" i="9"/>
  <c r="G71" i="9"/>
  <c r="C71" i="9"/>
  <c r="G67" i="9"/>
  <c r="C67" i="9"/>
  <c r="I66" i="9"/>
  <c r="J66" i="9" s="1"/>
  <c r="G66" i="9"/>
  <c r="C66" i="9"/>
  <c r="G65" i="9"/>
  <c r="C65" i="9"/>
  <c r="G64" i="9"/>
  <c r="C64" i="9"/>
  <c r="I63" i="9"/>
  <c r="J63" i="9" s="1"/>
  <c r="G63" i="9"/>
  <c r="C63" i="9"/>
  <c r="G62" i="9"/>
  <c r="C62" i="9"/>
  <c r="I61" i="9"/>
  <c r="J61" i="9" s="1"/>
  <c r="G61" i="9"/>
  <c r="C61" i="9"/>
  <c r="I60" i="9"/>
  <c r="J60" i="9" s="1"/>
  <c r="G60" i="9"/>
  <c r="C60" i="9"/>
  <c r="I59" i="9"/>
  <c r="J59" i="9" s="1"/>
  <c r="G59" i="9"/>
  <c r="C59" i="9"/>
  <c r="G58" i="9"/>
  <c r="C58" i="9"/>
  <c r="G57" i="9"/>
  <c r="C57" i="9"/>
  <c r="G56" i="9"/>
  <c r="C56" i="9"/>
  <c r="G55" i="9"/>
  <c r="C55" i="9"/>
  <c r="I54" i="9"/>
  <c r="J54" i="9" s="1"/>
  <c r="G54" i="9"/>
  <c r="C54" i="9"/>
  <c r="I53" i="9"/>
  <c r="J53" i="9" s="1"/>
  <c r="G53" i="9"/>
  <c r="C53" i="9"/>
  <c r="G52" i="9"/>
  <c r="C52" i="9"/>
  <c r="I51" i="9"/>
  <c r="J51" i="9" s="1"/>
  <c r="G51" i="9"/>
  <c r="C51" i="9"/>
  <c r="G50" i="9"/>
  <c r="C50" i="9"/>
  <c r="G49" i="9"/>
  <c r="C49" i="9"/>
  <c r="G45" i="9"/>
  <c r="C45" i="9"/>
  <c r="G44" i="9"/>
  <c r="C44" i="9"/>
  <c r="G43" i="9"/>
  <c r="C43" i="9"/>
  <c r="G42" i="9"/>
  <c r="C42" i="9"/>
  <c r="I41" i="9"/>
  <c r="J41" i="9" s="1"/>
  <c r="G41" i="9"/>
  <c r="C41" i="9"/>
  <c r="I40" i="9"/>
  <c r="J40" i="9" s="1"/>
  <c r="G40" i="9"/>
  <c r="C40" i="9"/>
  <c r="I39" i="9"/>
  <c r="J39" i="9" s="1"/>
  <c r="G39" i="9"/>
  <c r="C39" i="9"/>
  <c r="I38" i="9"/>
  <c r="J38" i="9" s="1"/>
  <c r="G38" i="9"/>
  <c r="C38" i="9"/>
  <c r="G37" i="9"/>
  <c r="C37" i="9"/>
  <c r="I33" i="9"/>
  <c r="J33" i="9" s="1"/>
  <c r="J34" i="9" s="1"/>
  <c r="G33" i="9"/>
  <c r="C33" i="9"/>
  <c r="L32" i="9"/>
  <c r="G32" i="9"/>
  <c r="C32" i="9"/>
  <c r="I28" i="9"/>
  <c r="J28" i="9" s="1"/>
  <c r="J29" i="9" s="1"/>
  <c r="G28" i="9"/>
  <c r="C28" i="9"/>
  <c r="L27" i="9"/>
  <c r="G27" i="9"/>
  <c r="C27" i="9"/>
  <c r="I23" i="9"/>
  <c r="J23" i="9" s="1"/>
  <c r="J24" i="9" s="1"/>
  <c r="G23" i="9"/>
  <c r="C23" i="9"/>
  <c r="L22" i="9"/>
  <c r="G22" i="9"/>
  <c r="C22" i="9"/>
  <c r="I18" i="9"/>
  <c r="J18" i="9" s="1"/>
  <c r="J19" i="9" s="1"/>
  <c r="I17" i="9" s="1"/>
  <c r="G18" i="9"/>
  <c r="C18" i="9"/>
  <c r="G17" i="9"/>
  <c r="C17" i="9"/>
  <c r="G13" i="9"/>
  <c r="C13" i="9"/>
  <c r="L12" i="9"/>
  <c r="G12" i="9"/>
  <c r="C12" i="9"/>
  <c r="I8" i="9"/>
  <c r="J8" i="9" s="1"/>
  <c r="J9" i="9" s="1"/>
  <c r="G8" i="9"/>
  <c r="C8" i="9"/>
  <c r="L7" i="9"/>
  <c r="G7" i="9"/>
  <c r="C7" i="9"/>
  <c r="B5" i="9"/>
  <c r="A2" i="9"/>
  <c r="A1" i="9"/>
  <c r="G852" i="8"/>
  <c r="C852" i="8"/>
  <c r="G851" i="8"/>
  <c r="C851" i="8"/>
  <c r="G850" i="8"/>
  <c r="C850" i="8"/>
  <c r="I849" i="8"/>
  <c r="J849" i="8" s="1"/>
  <c r="G849" i="8"/>
  <c r="C849" i="8"/>
  <c r="I848" i="8"/>
  <c r="J848" i="8" s="1"/>
  <c r="G848" i="8"/>
  <c r="C848" i="8"/>
  <c r="G847" i="8"/>
  <c r="C847" i="8"/>
  <c r="L846" i="8"/>
  <c r="G846" i="8"/>
  <c r="C846" i="8"/>
  <c r="G842" i="8"/>
  <c r="C842" i="8"/>
  <c r="G841" i="8"/>
  <c r="C841" i="8"/>
  <c r="I840" i="8"/>
  <c r="J840" i="8" s="1"/>
  <c r="G840" i="8"/>
  <c r="C840" i="8"/>
  <c r="I839" i="8"/>
  <c r="J839" i="8" s="1"/>
  <c r="G839" i="8"/>
  <c r="C839" i="8"/>
  <c r="I838" i="8"/>
  <c r="J838" i="8" s="1"/>
  <c r="G838" i="8"/>
  <c r="C838" i="8"/>
  <c r="I837" i="8"/>
  <c r="J837" i="8" s="1"/>
  <c r="G837" i="8"/>
  <c r="C837" i="8"/>
  <c r="I836" i="8"/>
  <c r="J836" i="8" s="1"/>
  <c r="G836" i="8"/>
  <c r="C836" i="8"/>
  <c r="I835" i="8"/>
  <c r="J835" i="8" s="1"/>
  <c r="G835" i="8"/>
  <c r="C835" i="8"/>
  <c r="G834" i="8"/>
  <c r="C834" i="8"/>
  <c r="G830" i="8"/>
  <c r="C830" i="8"/>
  <c r="G829" i="8"/>
  <c r="C829" i="8"/>
  <c r="I828" i="8"/>
  <c r="J828" i="8" s="1"/>
  <c r="G828" i="8"/>
  <c r="C828" i="8"/>
  <c r="I827" i="8"/>
  <c r="J827" i="8" s="1"/>
  <c r="G827" i="8"/>
  <c r="C827" i="8"/>
  <c r="I826" i="8"/>
  <c r="J826" i="8" s="1"/>
  <c r="G826" i="8"/>
  <c r="C826" i="8"/>
  <c r="I825" i="8"/>
  <c r="J825" i="8" s="1"/>
  <c r="G825" i="8"/>
  <c r="C825" i="8"/>
  <c r="I824" i="8"/>
  <c r="J824" i="8" s="1"/>
  <c r="G824" i="8"/>
  <c r="C824" i="8"/>
  <c r="I823" i="8"/>
  <c r="J823" i="8" s="1"/>
  <c r="G823" i="8"/>
  <c r="C823" i="8"/>
  <c r="G822" i="8"/>
  <c r="C822" i="8"/>
  <c r="I818" i="8"/>
  <c r="J818" i="8" s="1"/>
  <c r="J819" i="8" s="1"/>
  <c r="I817" i="8" s="1"/>
  <c r="G818" i="8"/>
  <c r="C818" i="8"/>
  <c r="L817" i="8"/>
  <c r="G817" i="8"/>
  <c r="C817" i="8"/>
  <c r="I813" i="8"/>
  <c r="J813" i="8" s="1"/>
  <c r="J814" i="8" s="1"/>
  <c r="G813" i="8"/>
  <c r="C813" i="8"/>
  <c r="L812" i="8"/>
  <c r="G812" i="8"/>
  <c r="C812" i="8"/>
  <c r="G808" i="8"/>
  <c r="C808" i="8"/>
  <c r="G807" i="8"/>
  <c r="C807" i="8"/>
  <c r="G806" i="8"/>
  <c r="C806" i="8"/>
  <c r="G802" i="8"/>
  <c r="C802" i="8"/>
  <c r="G801" i="8"/>
  <c r="C801" i="8"/>
  <c r="G800" i="8"/>
  <c r="C800" i="8"/>
  <c r="G799" i="8"/>
  <c r="C799" i="8"/>
  <c r="L798" i="8"/>
  <c r="G798" i="8"/>
  <c r="C798" i="8"/>
  <c r="G794" i="8"/>
  <c r="C794" i="8"/>
  <c r="L793" i="8"/>
  <c r="G793" i="8"/>
  <c r="C793" i="8"/>
  <c r="G789" i="8"/>
  <c r="C789" i="8"/>
  <c r="I788" i="8"/>
  <c r="J788" i="8" s="1"/>
  <c r="G788" i="8"/>
  <c r="C788" i="8"/>
  <c r="I787" i="8"/>
  <c r="J787" i="8" s="1"/>
  <c r="G787" i="8"/>
  <c r="C787" i="8"/>
  <c r="G786" i="8"/>
  <c r="C786" i="8"/>
  <c r="G785" i="8"/>
  <c r="C785" i="8"/>
  <c r="G781" i="8"/>
  <c r="C781" i="8"/>
  <c r="I780" i="8"/>
  <c r="J780" i="8" s="1"/>
  <c r="G780" i="8"/>
  <c r="C780" i="8"/>
  <c r="I779" i="8"/>
  <c r="J779" i="8" s="1"/>
  <c r="G779" i="8"/>
  <c r="C779" i="8"/>
  <c r="I778" i="8"/>
  <c r="J778" i="8" s="1"/>
  <c r="G778" i="8"/>
  <c r="C778" i="8"/>
  <c r="I777" i="8"/>
  <c r="J777" i="8" s="1"/>
  <c r="G777" i="8"/>
  <c r="C777" i="8"/>
  <c r="G776" i="8"/>
  <c r="C776" i="8"/>
  <c r="G772" i="8"/>
  <c r="C772" i="8"/>
  <c r="I771" i="8"/>
  <c r="J771" i="8" s="1"/>
  <c r="G771" i="8"/>
  <c r="C771" i="8"/>
  <c r="G770" i="8"/>
  <c r="C770" i="8"/>
  <c r="G769" i="8"/>
  <c r="C769" i="8"/>
  <c r="I768" i="8"/>
  <c r="J768" i="8" s="1"/>
  <c r="G768" i="8"/>
  <c r="C768" i="8"/>
  <c r="I767" i="8"/>
  <c r="J767" i="8" s="1"/>
  <c r="G767" i="8"/>
  <c r="C767" i="8"/>
  <c r="I766" i="8"/>
  <c r="J766" i="8" s="1"/>
  <c r="G766" i="8"/>
  <c r="C766" i="8"/>
  <c r="I765" i="8"/>
  <c r="J765" i="8" s="1"/>
  <c r="G765" i="8"/>
  <c r="C765" i="8"/>
  <c r="G764" i="8"/>
  <c r="C764" i="8"/>
  <c r="G763" i="8"/>
  <c r="C763" i="8"/>
  <c r="G762" i="8"/>
  <c r="C762" i="8"/>
  <c r="G761" i="8"/>
  <c r="C761" i="8"/>
  <c r="I760" i="8"/>
  <c r="G760" i="8"/>
  <c r="C760" i="8"/>
  <c r="G759" i="8"/>
  <c r="C759" i="8"/>
  <c r="I758" i="8"/>
  <c r="J758" i="8" s="1"/>
  <c r="G758" i="8"/>
  <c r="C758" i="8"/>
  <c r="G757" i="8"/>
  <c r="C757" i="8"/>
  <c r="G756" i="8"/>
  <c r="C756" i="8"/>
  <c r="G752" i="8"/>
  <c r="C752" i="8"/>
  <c r="I751" i="8"/>
  <c r="J751" i="8" s="1"/>
  <c r="G751" i="8"/>
  <c r="C751" i="8"/>
  <c r="I750" i="8"/>
  <c r="J750" i="8" s="1"/>
  <c r="G750" i="8"/>
  <c r="C750" i="8"/>
  <c r="I749" i="8"/>
  <c r="J749" i="8" s="1"/>
  <c r="G749" i="8"/>
  <c r="C749" i="8"/>
  <c r="I748" i="8"/>
  <c r="J748" i="8" s="1"/>
  <c r="G748" i="8"/>
  <c r="C748" i="8"/>
  <c r="I747" i="8"/>
  <c r="J747" i="8" s="1"/>
  <c r="G747" i="8"/>
  <c r="C747" i="8"/>
  <c r="L746" i="8"/>
  <c r="G746" i="8"/>
  <c r="C746" i="8"/>
  <c r="G742" i="8"/>
  <c r="C742" i="8"/>
  <c r="G741" i="8"/>
  <c r="C741" i="8"/>
  <c r="G740" i="8"/>
  <c r="C740" i="8"/>
  <c r="G739" i="8"/>
  <c r="C739" i="8"/>
  <c r="I738" i="8"/>
  <c r="J738" i="8" s="1"/>
  <c r="G738" i="8"/>
  <c r="C738" i="8"/>
  <c r="I737" i="8"/>
  <c r="J737" i="8" s="1"/>
  <c r="G737" i="8"/>
  <c r="C737" i="8"/>
  <c r="I736" i="8"/>
  <c r="J736" i="8" s="1"/>
  <c r="G736" i="8"/>
  <c r="C736" i="8"/>
  <c r="I735" i="8"/>
  <c r="J735" i="8" s="1"/>
  <c r="G735" i="8"/>
  <c r="C735" i="8"/>
  <c r="L734" i="8"/>
  <c r="G734" i="8"/>
  <c r="C734" i="8"/>
  <c r="G730" i="8"/>
  <c r="C730" i="8"/>
  <c r="I729" i="8"/>
  <c r="J729" i="8" s="1"/>
  <c r="G729" i="8"/>
  <c r="C729" i="8"/>
  <c r="I728" i="8"/>
  <c r="J728" i="8" s="1"/>
  <c r="G728" i="8"/>
  <c r="C728" i="8"/>
  <c r="I727" i="8"/>
  <c r="J727" i="8" s="1"/>
  <c r="G727" i="8"/>
  <c r="C727" i="8"/>
  <c r="I726" i="8"/>
  <c r="J726" i="8" s="1"/>
  <c r="G726" i="8"/>
  <c r="C726" i="8"/>
  <c r="I725" i="8"/>
  <c r="J725" i="8" s="1"/>
  <c r="G725" i="8"/>
  <c r="C725" i="8"/>
  <c r="L724" i="8"/>
  <c r="G724" i="8"/>
  <c r="C724" i="8"/>
  <c r="G720" i="8"/>
  <c r="C720" i="8"/>
  <c r="I719" i="8"/>
  <c r="J719" i="8" s="1"/>
  <c r="G719" i="8"/>
  <c r="C719" i="8"/>
  <c r="G718" i="8"/>
  <c r="C718" i="8"/>
  <c r="G717" i="8"/>
  <c r="C717" i="8"/>
  <c r="G716" i="8"/>
  <c r="C716" i="8"/>
  <c r="I715" i="8"/>
  <c r="J715" i="8" s="1"/>
  <c r="G715" i="8"/>
  <c r="C715" i="8"/>
  <c r="I714" i="8"/>
  <c r="J714" i="8" s="1"/>
  <c r="G714" i="8"/>
  <c r="C714" i="8"/>
  <c r="I713" i="8"/>
  <c r="J713" i="8" s="1"/>
  <c r="G713" i="8"/>
  <c r="C713" i="8"/>
  <c r="I712" i="8"/>
  <c r="J712" i="8" s="1"/>
  <c r="G712" i="8"/>
  <c r="C712" i="8"/>
  <c r="I711" i="8"/>
  <c r="J711" i="8" s="1"/>
  <c r="G711" i="8"/>
  <c r="C711" i="8"/>
  <c r="I710" i="8"/>
  <c r="J710" i="8" s="1"/>
  <c r="G710" i="8"/>
  <c r="C710" i="8"/>
  <c r="I709" i="8"/>
  <c r="J709" i="8" s="1"/>
  <c r="G709" i="8"/>
  <c r="C709" i="8"/>
  <c r="G708" i="8"/>
  <c r="C708" i="8"/>
  <c r="I707" i="8"/>
  <c r="J707" i="8" s="1"/>
  <c r="G707" i="8"/>
  <c r="C707" i="8"/>
  <c r="G706" i="8"/>
  <c r="C706" i="8"/>
  <c r="G705" i="8"/>
  <c r="C705" i="8"/>
  <c r="I704" i="8"/>
  <c r="J704" i="8" s="1"/>
  <c r="G704" i="8"/>
  <c r="C704" i="8"/>
  <c r="G703" i="8"/>
  <c r="C703" i="8"/>
  <c r="I702" i="8"/>
  <c r="J702" i="8" s="1"/>
  <c r="G702" i="8"/>
  <c r="C702" i="8"/>
  <c r="G701" i="8"/>
  <c r="C701" i="8"/>
  <c r="L700" i="8"/>
  <c r="G700" i="8"/>
  <c r="C700" i="8"/>
  <c r="G696" i="8"/>
  <c r="C696" i="8"/>
  <c r="I695" i="8"/>
  <c r="J695" i="8" s="1"/>
  <c r="G695" i="8"/>
  <c r="C695" i="8"/>
  <c r="G694" i="8"/>
  <c r="C694" i="8"/>
  <c r="G693" i="8"/>
  <c r="C693" i="8"/>
  <c r="G689" i="8"/>
  <c r="C689" i="8"/>
  <c r="I688" i="8"/>
  <c r="J688" i="8" s="1"/>
  <c r="G688" i="8"/>
  <c r="C688" i="8"/>
  <c r="G687" i="8"/>
  <c r="C687" i="8"/>
  <c r="I686" i="8"/>
  <c r="J686" i="8" s="1"/>
  <c r="G686" i="8"/>
  <c r="C686" i="8"/>
  <c r="I685" i="8"/>
  <c r="J685" i="8" s="1"/>
  <c r="G685" i="8"/>
  <c r="C685" i="8"/>
  <c r="I684" i="8"/>
  <c r="J684" i="8" s="1"/>
  <c r="G684" i="8"/>
  <c r="C684" i="8"/>
  <c r="I683" i="8"/>
  <c r="J683" i="8" s="1"/>
  <c r="G683" i="8"/>
  <c r="C683" i="8"/>
  <c r="G682" i="8"/>
  <c r="C682" i="8"/>
  <c r="L681" i="8"/>
  <c r="G681" i="8"/>
  <c r="C681" i="8"/>
  <c r="G677" i="8"/>
  <c r="C677" i="8"/>
  <c r="I676" i="8"/>
  <c r="J676" i="8" s="1"/>
  <c r="G676" i="8"/>
  <c r="C676" i="8"/>
  <c r="G675" i="8"/>
  <c r="C675" i="8"/>
  <c r="I674" i="8"/>
  <c r="J674" i="8" s="1"/>
  <c r="G674" i="8"/>
  <c r="C674" i="8"/>
  <c r="I673" i="8"/>
  <c r="J673" i="8" s="1"/>
  <c r="G673" i="8"/>
  <c r="C673" i="8"/>
  <c r="I672" i="8"/>
  <c r="J672" i="8" s="1"/>
  <c r="G672" i="8"/>
  <c r="C672" i="8"/>
  <c r="I671" i="8"/>
  <c r="J671" i="8" s="1"/>
  <c r="G671" i="8"/>
  <c r="C671" i="8"/>
  <c r="G670" i="8"/>
  <c r="C670" i="8"/>
  <c r="L669" i="8"/>
  <c r="G669" i="8"/>
  <c r="C669" i="8"/>
  <c r="I665" i="8"/>
  <c r="J665" i="8" s="1"/>
  <c r="J666" i="8" s="1"/>
  <c r="G665" i="8"/>
  <c r="C665" i="8"/>
  <c r="G664" i="8"/>
  <c r="C664" i="8"/>
  <c r="G660" i="8"/>
  <c r="C660" i="8"/>
  <c r="L659" i="8"/>
  <c r="G659" i="8"/>
  <c r="C659" i="8"/>
  <c r="I655" i="8"/>
  <c r="J655" i="8" s="1"/>
  <c r="J656" i="8" s="1"/>
  <c r="G655" i="8"/>
  <c r="C655" i="8"/>
  <c r="L654" i="8"/>
  <c r="G654" i="8"/>
  <c r="C654" i="8"/>
  <c r="G650" i="8"/>
  <c r="C650" i="8"/>
  <c r="I649" i="8"/>
  <c r="J649" i="8" s="1"/>
  <c r="G649" i="8"/>
  <c r="C649" i="8"/>
  <c r="I648" i="8"/>
  <c r="J648" i="8" s="1"/>
  <c r="G648" i="8"/>
  <c r="C648" i="8"/>
  <c r="I647" i="8"/>
  <c r="J647" i="8" s="1"/>
  <c r="G647" i="8"/>
  <c r="C647" i="8"/>
  <c r="I646" i="8"/>
  <c r="J646" i="8" s="1"/>
  <c r="G646" i="8"/>
  <c r="C646" i="8"/>
  <c r="I645" i="8"/>
  <c r="J645" i="8" s="1"/>
  <c r="G645" i="8"/>
  <c r="C645" i="8"/>
  <c r="I644" i="8"/>
  <c r="J644" i="8" s="1"/>
  <c r="G644" i="8"/>
  <c r="C644" i="8"/>
  <c r="I643" i="8"/>
  <c r="J643" i="8" s="1"/>
  <c r="G643" i="8"/>
  <c r="C643" i="8"/>
  <c r="L642" i="8"/>
  <c r="G642" i="8"/>
  <c r="C642" i="8"/>
  <c r="I638" i="8"/>
  <c r="J638" i="8" s="1"/>
  <c r="J639" i="8" s="1"/>
  <c r="G638" i="8"/>
  <c r="C638" i="8"/>
  <c r="L637" i="8"/>
  <c r="G637" i="8"/>
  <c r="C637" i="8"/>
  <c r="I633" i="8"/>
  <c r="J633" i="8" s="1"/>
  <c r="J634" i="8" s="1"/>
  <c r="G633" i="8"/>
  <c r="C633" i="8"/>
  <c r="G632" i="8"/>
  <c r="C632" i="8"/>
  <c r="I628" i="8"/>
  <c r="J628" i="8" s="1"/>
  <c r="J629" i="8" s="1"/>
  <c r="G628" i="8"/>
  <c r="C628" i="8"/>
  <c r="L627" i="8"/>
  <c r="G627" i="8"/>
  <c r="C627" i="8"/>
  <c r="I623" i="8"/>
  <c r="J623" i="8" s="1"/>
  <c r="J624" i="8" s="1"/>
  <c r="G623" i="8"/>
  <c r="C623" i="8"/>
  <c r="G622" i="8"/>
  <c r="C622" i="8"/>
  <c r="I618" i="8"/>
  <c r="J618" i="8" s="1"/>
  <c r="J619" i="8" s="1"/>
  <c r="G618" i="8"/>
  <c r="C618" i="8"/>
  <c r="L617" i="8"/>
  <c r="G617" i="8"/>
  <c r="C617" i="8"/>
  <c r="I613" i="8"/>
  <c r="J613" i="8" s="1"/>
  <c r="J614" i="8" s="1"/>
  <c r="G613" i="8"/>
  <c r="C613" i="8"/>
  <c r="G612" i="8"/>
  <c r="C612" i="8"/>
  <c r="G608" i="8"/>
  <c r="C608" i="8"/>
  <c r="G607" i="8"/>
  <c r="C607" i="8"/>
  <c r="I606" i="8"/>
  <c r="J606" i="8" s="1"/>
  <c r="G606" i="8"/>
  <c r="C606" i="8"/>
  <c r="I605" i="8"/>
  <c r="J605" i="8" s="1"/>
  <c r="G605" i="8"/>
  <c r="C605" i="8"/>
  <c r="I604" i="8"/>
  <c r="J604" i="8" s="1"/>
  <c r="G604" i="8"/>
  <c r="C604" i="8"/>
  <c r="I603" i="8"/>
  <c r="J603" i="8" s="1"/>
  <c r="G603" i="8"/>
  <c r="C603" i="8"/>
  <c r="I602" i="8"/>
  <c r="J602" i="8" s="1"/>
  <c r="G602" i="8"/>
  <c r="C602" i="8"/>
  <c r="I601" i="8"/>
  <c r="J601" i="8" s="1"/>
  <c r="G601" i="8"/>
  <c r="C601" i="8"/>
  <c r="L600" i="8"/>
  <c r="G600" i="8"/>
  <c r="C600" i="8"/>
  <c r="G596" i="8"/>
  <c r="C596" i="8"/>
  <c r="G595" i="8"/>
  <c r="C595" i="8"/>
  <c r="G594" i="8"/>
  <c r="C594" i="8"/>
  <c r="G593" i="8"/>
  <c r="C593" i="8"/>
  <c r="L592" i="8"/>
  <c r="G592" i="8"/>
  <c r="C592" i="8"/>
  <c r="G588" i="8"/>
  <c r="C588" i="8"/>
  <c r="G587" i="8"/>
  <c r="C587" i="8"/>
  <c r="G586" i="8"/>
  <c r="C586" i="8"/>
  <c r="G585" i="8"/>
  <c r="C585" i="8"/>
  <c r="G584" i="8"/>
  <c r="C584" i="8"/>
  <c r="G583" i="8"/>
  <c r="C583" i="8"/>
  <c r="L582" i="8"/>
  <c r="G582" i="8"/>
  <c r="C582" i="8"/>
  <c r="I578" i="8"/>
  <c r="J578" i="8" s="1"/>
  <c r="J579" i="8" s="1"/>
  <c r="G578" i="8"/>
  <c r="C578" i="8"/>
  <c r="G577" i="8"/>
  <c r="C577" i="8"/>
  <c r="I573" i="8"/>
  <c r="J573" i="8" s="1"/>
  <c r="J574" i="8" s="1"/>
  <c r="G573" i="8"/>
  <c r="C573" i="8"/>
  <c r="L572" i="8"/>
  <c r="G572" i="8"/>
  <c r="C572" i="8"/>
  <c r="I568" i="8"/>
  <c r="J568" i="8" s="1"/>
  <c r="J569" i="8" s="1"/>
  <c r="G568" i="8"/>
  <c r="C568" i="8"/>
  <c r="L567" i="8"/>
  <c r="G567" i="8"/>
  <c r="C567" i="8"/>
  <c r="G563" i="8"/>
  <c r="C563" i="8"/>
  <c r="G562" i="8"/>
  <c r="C562" i="8"/>
  <c r="G561" i="8"/>
  <c r="C561" i="8"/>
  <c r="G560" i="8"/>
  <c r="C560" i="8"/>
  <c r="I559" i="8"/>
  <c r="J559" i="8" s="1"/>
  <c r="G559" i="8"/>
  <c r="C559" i="8"/>
  <c r="G558" i="8"/>
  <c r="C558" i="8"/>
  <c r="I557" i="8"/>
  <c r="J557" i="8" s="1"/>
  <c r="G557" i="8"/>
  <c r="C557" i="8"/>
  <c r="I556" i="8"/>
  <c r="J556" i="8" s="1"/>
  <c r="G556" i="8"/>
  <c r="C556" i="8"/>
  <c r="G555" i="8"/>
  <c r="C555" i="8"/>
  <c r="L554" i="8"/>
  <c r="G554" i="8"/>
  <c r="C554" i="8"/>
  <c r="G550" i="8"/>
  <c r="C550" i="8"/>
  <c r="G549" i="8"/>
  <c r="C549" i="8"/>
  <c r="G548" i="8"/>
  <c r="C548" i="8"/>
  <c r="L547" i="8"/>
  <c r="G547" i="8"/>
  <c r="C547" i="8"/>
  <c r="G543" i="8"/>
  <c r="C543" i="8"/>
  <c r="G542" i="8"/>
  <c r="C542" i="8"/>
  <c r="G541" i="8"/>
  <c r="C541" i="8"/>
  <c r="G540" i="8"/>
  <c r="C540" i="8"/>
  <c r="G539" i="8"/>
  <c r="C539" i="8"/>
  <c r="L538" i="8"/>
  <c r="G538" i="8"/>
  <c r="C538" i="8"/>
  <c r="G534" i="8"/>
  <c r="C534" i="8"/>
  <c r="G533" i="8"/>
  <c r="C533" i="8"/>
  <c r="L532" i="8"/>
  <c r="G532" i="8"/>
  <c r="C532" i="8"/>
  <c r="G528" i="8"/>
  <c r="C528" i="8"/>
  <c r="G527" i="8"/>
  <c r="C527" i="8"/>
  <c r="G526" i="8"/>
  <c r="C526" i="8"/>
  <c r="G525" i="8"/>
  <c r="C525" i="8"/>
  <c r="G524" i="8"/>
  <c r="C524" i="8"/>
  <c r="G520" i="8"/>
  <c r="C520" i="8"/>
  <c r="I519" i="8"/>
  <c r="J519" i="8" s="1"/>
  <c r="G519" i="8"/>
  <c r="C519" i="8"/>
  <c r="I518" i="8"/>
  <c r="J518" i="8" s="1"/>
  <c r="G518" i="8"/>
  <c r="C518" i="8"/>
  <c r="I517" i="8"/>
  <c r="J517" i="8" s="1"/>
  <c r="G517" i="8"/>
  <c r="C517" i="8"/>
  <c r="I516" i="8"/>
  <c r="J516" i="8" s="1"/>
  <c r="G516" i="8"/>
  <c r="C516" i="8"/>
  <c r="I515" i="8"/>
  <c r="J515" i="8" s="1"/>
  <c r="G515" i="8"/>
  <c r="C515" i="8"/>
  <c r="I514" i="8"/>
  <c r="J514" i="8" s="1"/>
  <c r="G514" i="8"/>
  <c r="C514" i="8"/>
  <c r="I513" i="8"/>
  <c r="J513" i="8" s="1"/>
  <c r="G513" i="8"/>
  <c r="C513" i="8"/>
  <c r="G512" i="8"/>
  <c r="C512" i="8"/>
  <c r="G508" i="8"/>
  <c r="C508" i="8"/>
  <c r="G507" i="8"/>
  <c r="C507" i="8"/>
  <c r="I506" i="8"/>
  <c r="J506" i="8" s="1"/>
  <c r="G506" i="8"/>
  <c r="C506" i="8"/>
  <c r="L505" i="8"/>
  <c r="G505" i="8"/>
  <c r="C505" i="8"/>
  <c r="G501" i="8"/>
  <c r="C501" i="8"/>
  <c r="G500" i="8"/>
  <c r="C500" i="8"/>
  <c r="G499" i="8"/>
  <c r="C499" i="8"/>
  <c r="L498" i="8"/>
  <c r="G498" i="8"/>
  <c r="C498" i="8"/>
  <c r="G494" i="8"/>
  <c r="C494" i="8"/>
  <c r="G493" i="8"/>
  <c r="C493" i="8"/>
  <c r="I492" i="8"/>
  <c r="J492" i="8" s="1"/>
  <c r="G492" i="8"/>
  <c r="C492" i="8"/>
  <c r="L491" i="8"/>
  <c r="G491" i="8"/>
  <c r="C491" i="8"/>
  <c r="G487" i="8"/>
  <c r="C487" i="8"/>
  <c r="I486" i="8"/>
  <c r="J486" i="8" s="1"/>
  <c r="G486" i="8"/>
  <c r="C486" i="8"/>
  <c r="L485" i="8"/>
  <c r="G485" i="8"/>
  <c r="C485" i="8"/>
  <c r="G481" i="8"/>
  <c r="C481" i="8"/>
  <c r="I480" i="8"/>
  <c r="J480" i="8" s="1"/>
  <c r="G480" i="8"/>
  <c r="C480" i="8"/>
  <c r="L479" i="8"/>
  <c r="G479" i="8"/>
  <c r="C479" i="8"/>
  <c r="G475" i="8"/>
  <c r="C475" i="8"/>
  <c r="I474" i="8"/>
  <c r="J474" i="8" s="1"/>
  <c r="G474" i="8"/>
  <c r="C474" i="8"/>
  <c r="L473" i="8"/>
  <c r="G473" i="8"/>
  <c r="C473" i="8"/>
  <c r="G469" i="8"/>
  <c r="C469" i="8"/>
  <c r="G468" i="8"/>
  <c r="C468" i="8"/>
  <c r="I467" i="8"/>
  <c r="J467" i="8" s="1"/>
  <c r="G467" i="8"/>
  <c r="C467" i="8"/>
  <c r="G466" i="8"/>
  <c r="C466" i="8"/>
  <c r="G462" i="8"/>
  <c r="C462" i="8"/>
  <c r="G461" i="8"/>
  <c r="C461" i="8"/>
  <c r="I460" i="8"/>
  <c r="J460" i="8" s="1"/>
  <c r="G460" i="8"/>
  <c r="C460" i="8"/>
  <c r="L459" i="8"/>
  <c r="G459" i="8"/>
  <c r="C459" i="8"/>
  <c r="G455" i="8"/>
  <c r="C455" i="8"/>
  <c r="G454" i="8"/>
  <c r="C454" i="8"/>
  <c r="I453" i="8"/>
  <c r="J453" i="8" s="1"/>
  <c r="G453" i="8"/>
  <c r="C453" i="8"/>
  <c r="G452" i="8"/>
  <c r="C452" i="8"/>
  <c r="G448" i="8"/>
  <c r="C448" i="8"/>
  <c r="G447" i="8"/>
  <c r="C447" i="8"/>
  <c r="G446" i="8"/>
  <c r="C446" i="8"/>
  <c r="G445" i="8"/>
  <c r="C445" i="8"/>
  <c r="G441" i="8"/>
  <c r="C441" i="8"/>
  <c r="G440" i="8"/>
  <c r="C440" i="8"/>
  <c r="I439" i="8"/>
  <c r="J439" i="8" s="1"/>
  <c r="G439" i="8"/>
  <c r="C439" i="8"/>
  <c r="L438" i="8"/>
  <c r="G438" i="8"/>
  <c r="C438" i="8"/>
  <c r="G434" i="8"/>
  <c r="C434" i="8"/>
  <c r="I433" i="8"/>
  <c r="J433" i="8" s="1"/>
  <c r="G433" i="8"/>
  <c r="C433" i="8"/>
  <c r="I432" i="8"/>
  <c r="J432" i="8" s="1"/>
  <c r="G432" i="8"/>
  <c r="C432" i="8"/>
  <c r="I431" i="8"/>
  <c r="J431" i="8" s="1"/>
  <c r="G431" i="8"/>
  <c r="C431" i="8"/>
  <c r="I430" i="8"/>
  <c r="J430" i="8" s="1"/>
  <c r="G430" i="8"/>
  <c r="C430" i="8"/>
  <c r="I429" i="8"/>
  <c r="J429" i="8" s="1"/>
  <c r="G429" i="8"/>
  <c r="C429" i="8"/>
  <c r="I428" i="8"/>
  <c r="J428" i="8" s="1"/>
  <c r="G428" i="8"/>
  <c r="C428" i="8"/>
  <c r="I427" i="8"/>
  <c r="J427" i="8" s="1"/>
  <c r="G427" i="8"/>
  <c r="C427" i="8"/>
  <c r="G426" i="8"/>
  <c r="C426" i="8"/>
  <c r="G422" i="8"/>
  <c r="C422" i="8"/>
  <c r="I421" i="8"/>
  <c r="J421" i="8" s="1"/>
  <c r="G421" i="8"/>
  <c r="C421" i="8"/>
  <c r="I420" i="8"/>
  <c r="J420" i="8" s="1"/>
  <c r="G420" i="8"/>
  <c r="C420" i="8"/>
  <c r="I419" i="8"/>
  <c r="J419" i="8" s="1"/>
  <c r="G419" i="8"/>
  <c r="C419" i="8"/>
  <c r="I418" i="8"/>
  <c r="J418" i="8" s="1"/>
  <c r="G418" i="8"/>
  <c r="C418" i="8"/>
  <c r="I417" i="8"/>
  <c r="J417" i="8" s="1"/>
  <c r="G417" i="8"/>
  <c r="C417" i="8"/>
  <c r="I416" i="8"/>
  <c r="J416" i="8" s="1"/>
  <c r="G416" i="8"/>
  <c r="C416" i="8"/>
  <c r="G415" i="8"/>
  <c r="C415" i="8"/>
  <c r="L414" i="8"/>
  <c r="G414" i="8"/>
  <c r="C414" i="8"/>
  <c r="G410" i="8"/>
  <c r="C410" i="8"/>
  <c r="G409" i="8"/>
  <c r="C409" i="8"/>
  <c r="G408" i="8"/>
  <c r="C408" i="8"/>
  <c r="G407" i="8"/>
  <c r="C407" i="8"/>
  <c r="I406" i="8"/>
  <c r="J406" i="8" s="1"/>
  <c r="G406" i="8"/>
  <c r="C406" i="8"/>
  <c r="L405" i="8"/>
  <c r="G405" i="8"/>
  <c r="C405" i="8"/>
  <c r="G401" i="8"/>
  <c r="C401" i="8"/>
  <c r="G400" i="8"/>
  <c r="C400" i="8"/>
  <c r="G399" i="8"/>
  <c r="C399" i="8"/>
  <c r="G398" i="8"/>
  <c r="C398" i="8"/>
  <c r="I397" i="8"/>
  <c r="J397" i="8" s="1"/>
  <c r="G397" i="8"/>
  <c r="C397" i="8"/>
  <c r="I396" i="8"/>
  <c r="J396" i="8" s="1"/>
  <c r="G396" i="8"/>
  <c r="C396" i="8"/>
  <c r="G395" i="8"/>
  <c r="C395" i="8"/>
  <c r="L394" i="8"/>
  <c r="G394" i="8"/>
  <c r="C394" i="8"/>
  <c r="G390" i="8"/>
  <c r="C390" i="8"/>
  <c r="G389" i="8"/>
  <c r="C389" i="8"/>
  <c r="G388" i="8"/>
  <c r="C388" i="8"/>
  <c r="G387" i="8"/>
  <c r="C387" i="8"/>
  <c r="I386" i="8"/>
  <c r="J386" i="8" s="1"/>
  <c r="G386" i="8"/>
  <c r="C386" i="8"/>
  <c r="I385" i="8"/>
  <c r="J385" i="8" s="1"/>
  <c r="G385" i="8"/>
  <c r="C385" i="8"/>
  <c r="I384" i="8"/>
  <c r="J384" i="8" s="1"/>
  <c r="G384" i="8"/>
  <c r="C384" i="8"/>
  <c r="I383" i="8"/>
  <c r="J383" i="8" s="1"/>
  <c r="G383" i="8"/>
  <c r="C383" i="8"/>
  <c r="L382" i="8"/>
  <c r="G382" i="8"/>
  <c r="C382" i="8"/>
  <c r="G378" i="8"/>
  <c r="C378" i="8"/>
  <c r="G377" i="8"/>
  <c r="C377" i="8"/>
  <c r="G376" i="8"/>
  <c r="C376" i="8"/>
  <c r="G375" i="8"/>
  <c r="C375" i="8"/>
  <c r="I374" i="8"/>
  <c r="J374" i="8" s="1"/>
  <c r="G374" i="8"/>
  <c r="C374" i="8"/>
  <c r="I373" i="8"/>
  <c r="J373" i="8" s="1"/>
  <c r="G373" i="8"/>
  <c r="C373" i="8"/>
  <c r="I372" i="8"/>
  <c r="J372" i="8" s="1"/>
  <c r="G372" i="8"/>
  <c r="C372" i="8"/>
  <c r="I371" i="8"/>
  <c r="J371" i="8" s="1"/>
  <c r="G371" i="8"/>
  <c r="C371" i="8"/>
  <c r="G370" i="8"/>
  <c r="C370" i="8"/>
  <c r="G366" i="8"/>
  <c r="C366" i="8"/>
  <c r="I365" i="8"/>
  <c r="J365" i="8" s="1"/>
  <c r="G365" i="8"/>
  <c r="C365" i="8"/>
  <c r="I364" i="8"/>
  <c r="J364" i="8" s="1"/>
  <c r="G364" i="8"/>
  <c r="C364" i="8"/>
  <c r="I363" i="8"/>
  <c r="J363" i="8" s="1"/>
  <c r="G363" i="8"/>
  <c r="C363" i="8"/>
  <c r="I362" i="8"/>
  <c r="J362" i="8" s="1"/>
  <c r="G362" i="8"/>
  <c r="C362" i="8"/>
  <c r="I361" i="8"/>
  <c r="J361" i="8" s="1"/>
  <c r="G361" i="8"/>
  <c r="C361" i="8"/>
  <c r="I360" i="8"/>
  <c r="J360" i="8" s="1"/>
  <c r="G360" i="8"/>
  <c r="C360" i="8"/>
  <c r="I359" i="8"/>
  <c r="J359" i="8" s="1"/>
  <c r="G359" i="8"/>
  <c r="C359" i="8"/>
  <c r="L358" i="8"/>
  <c r="G358" i="8"/>
  <c r="C358" i="8"/>
  <c r="G354" i="8"/>
  <c r="C354" i="8"/>
  <c r="I353" i="8"/>
  <c r="J353" i="8" s="1"/>
  <c r="G353" i="8"/>
  <c r="C353" i="8"/>
  <c r="I352" i="8"/>
  <c r="J352" i="8" s="1"/>
  <c r="G352" i="8"/>
  <c r="C352" i="8"/>
  <c r="I351" i="8"/>
  <c r="J351" i="8" s="1"/>
  <c r="G351" i="8"/>
  <c r="C351" i="8"/>
  <c r="I350" i="8"/>
  <c r="J350" i="8" s="1"/>
  <c r="G350" i="8"/>
  <c r="C350" i="8"/>
  <c r="I349" i="8"/>
  <c r="J349" i="8" s="1"/>
  <c r="G349" i="8"/>
  <c r="C349" i="8"/>
  <c r="I348" i="8"/>
  <c r="J348" i="8" s="1"/>
  <c r="G348" i="8"/>
  <c r="C348" i="8"/>
  <c r="I347" i="8"/>
  <c r="J347" i="8" s="1"/>
  <c r="G347" i="8"/>
  <c r="C347" i="8"/>
  <c r="L346" i="8"/>
  <c r="G346" i="8"/>
  <c r="C346" i="8"/>
  <c r="I342" i="8"/>
  <c r="J342" i="8" s="1"/>
  <c r="J343" i="8" s="1"/>
  <c r="G342" i="8"/>
  <c r="C342" i="8"/>
  <c r="L341" i="8"/>
  <c r="G341" i="8"/>
  <c r="C341" i="8"/>
  <c r="I337" i="8"/>
  <c r="J337" i="8" s="1"/>
  <c r="J338" i="8" s="1"/>
  <c r="G337" i="8"/>
  <c r="C337" i="8"/>
  <c r="L336" i="8"/>
  <c r="G336" i="8"/>
  <c r="C336" i="8"/>
  <c r="I332" i="8"/>
  <c r="J332" i="8" s="1"/>
  <c r="J333" i="8" s="1"/>
  <c r="I331" i="8" s="1"/>
  <c r="G332" i="8"/>
  <c r="C332" i="8"/>
  <c r="G331" i="8"/>
  <c r="C331" i="8"/>
  <c r="I327" i="8"/>
  <c r="J327" i="8" s="1"/>
  <c r="J328" i="8" s="1"/>
  <c r="G327" i="8"/>
  <c r="C327" i="8"/>
  <c r="L326" i="8"/>
  <c r="G326" i="8"/>
  <c r="C326" i="8"/>
  <c r="G322" i="8"/>
  <c r="C322" i="8"/>
  <c r="G321" i="8"/>
  <c r="C321" i="8"/>
  <c r="I320" i="8"/>
  <c r="G320" i="8"/>
  <c r="C320" i="8"/>
  <c r="I319" i="8"/>
  <c r="J319" i="8" s="1"/>
  <c r="G319" i="8"/>
  <c r="C319" i="8"/>
  <c r="I318" i="8"/>
  <c r="J318" i="8" s="1"/>
  <c r="G318" i="8"/>
  <c r="C318" i="8"/>
  <c r="I317" i="8"/>
  <c r="J317" i="8" s="1"/>
  <c r="G317" i="8"/>
  <c r="C317" i="8"/>
  <c r="I316" i="8"/>
  <c r="J316" i="8" s="1"/>
  <c r="G316" i="8"/>
  <c r="C316" i="8"/>
  <c r="I315" i="8"/>
  <c r="J315" i="8" s="1"/>
  <c r="G315" i="8"/>
  <c r="C315" i="8"/>
  <c r="L314" i="8"/>
  <c r="G314" i="8"/>
  <c r="C314" i="8"/>
  <c r="G310" i="8"/>
  <c r="C310" i="8"/>
  <c r="I309" i="8"/>
  <c r="J309" i="8" s="1"/>
  <c r="G309" i="8"/>
  <c r="C309" i="8"/>
  <c r="L308" i="8"/>
  <c r="G308" i="8"/>
  <c r="C308" i="8"/>
  <c r="G304" i="8"/>
  <c r="C304" i="8"/>
  <c r="I303" i="8"/>
  <c r="J303" i="8" s="1"/>
  <c r="G303" i="8"/>
  <c r="C303" i="8"/>
  <c r="G302" i="8"/>
  <c r="C302" i="8"/>
  <c r="G298" i="8"/>
  <c r="C298" i="8"/>
  <c r="I297" i="8"/>
  <c r="J297" i="8" s="1"/>
  <c r="G297" i="8"/>
  <c r="C297" i="8"/>
  <c r="L296" i="8"/>
  <c r="G296" i="8"/>
  <c r="C296" i="8"/>
  <c r="G292" i="8"/>
  <c r="C292" i="8"/>
  <c r="G291" i="8"/>
  <c r="C291" i="8"/>
  <c r="I290" i="8"/>
  <c r="J290" i="8" s="1"/>
  <c r="G290" i="8"/>
  <c r="C290" i="8"/>
  <c r="I289" i="8"/>
  <c r="J289" i="8" s="1"/>
  <c r="G289" i="8"/>
  <c r="C289" i="8"/>
  <c r="I288" i="8"/>
  <c r="J288" i="8" s="1"/>
  <c r="G288" i="8"/>
  <c r="C288" i="8"/>
  <c r="I287" i="8"/>
  <c r="J287" i="8" s="1"/>
  <c r="G287" i="8"/>
  <c r="C287" i="8"/>
  <c r="I286" i="8"/>
  <c r="J286" i="8" s="1"/>
  <c r="G286" i="8"/>
  <c r="C286" i="8"/>
  <c r="I285" i="8"/>
  <c r="J285" i="8" s="1"/>
  <c r="G285" i="8"/>
  <c r="C285" i="8"/>
  <c r="G284" i="8"/>
  <c r="C284" i="8"/>
  <c r="I280" i="8"/>
  <c r="J280" i="8" s="1"/>
  <c r="J281" i="8" s="1"/>
  <c r="G280" i="8"/>
  <c r="C280" i="8"/>
  <c r="G279" i="8"/>
  <c r="C279" i="8"/>
  <c r="G275" i="8"/>
  <c r="C275" i="8"/>
  <c r="I274" i="8"/>
  <c r="J274" i="8" s="1"/>
  <c r="G274" i="8"/>
  <c r="C274" i="8"/>
  <c r="L273" i="8"/>
  <c r="G273" i="8"/>
  <c r="C273" i="8"/>
  <c r="I269" i="8"/>
  <c r="J269" i="8" s="1"/>
  <c r="J270" i="8" s="1"/>
  <c r="G269" i="8"/>
  <c r="C269" i="8"/>
  <c r="L268" i="8"/>
  <c r="G268" i="8"/>
  <c r="C268" i="8"/>
  <c r="I264" i="8"/>
  <c r="J264" i="8" s="1"/>
  <c r="J265" i="8" s="1"/>
  <c r="G264" i="8"/>
  <c r="C264" i="8"/>
  <c r="G263" i="8"/>
  <c r="C263" i="8"/>
  <c r="G259" i="8"/>
  <c r="C259" i="8"/>
  <c r="G258" i="8"/>
  <c r="C258" i="8"/>
  <c r="G257" i="8"/>
  <c r="C257" i="8"/>
  <c r="G253" i="8"/>
  <c r="C253" i="8"/>
  <c r="G252" i="8"/>
  <c r="C252" i="8"/>
  <c r="G251" i="8"/>
  <c r="C251" i="8"/>
  <c r="I250" i="8"/>
  <c r="J250" i="8" s="1"/>
  <c r="G250" i="8"/>
  <c r="C250" i="8"/>
  <c r="I249" i="8"/>
  <c r="J249" i="8" s="1"/>
  <c r="G249" i="8"/>
  <c r="C249" i="8"/>
  <c r="G248" i="8"/>
  <c r="C248" i="8"/>
  <c r="G244" i="8"/>
  <c r="C244" i="8"/>
  <c r="G243" i="8"/>
  <c r="C243" i="8"/>
  <c r="G242" i="8"/>
  <c r="C242" i="8"/>
  <c r="I241" i="8"/>
  <c r="J241" i="8" s="1"/>
  <c r="G241" i="8"/>
  <c r="C241" i="8"/>
  <c r="I240" i="8"/>
  <c r="J240" i="8" s="1"/>
  <c r="G240" i="8"/>
  <c r="C240" i="8"/>
  <c r="L239" i="8"/>
  <c r="G239" i="8"/>
  <c r="C239" i="8"/>
  <c r="G235" i="8"/>
  <c r="C235" i="8"/>
  <c r="I234" i="8"/>
  <c r="J234" i="8" s="1"/>
  <c r="G234" i="8"/>
  <c r="C234" i="8"/>
  <c r="L233" i="8"/>
  <c r="G233" i="8"/>
  <c r="C233" i="8"/>
  <c r="G229" i="8"/>
  <c r="C229" i="8"/>
  <c r="G228" i="8"/>
  <c r="C228" i="8"/>
  <c r="G227" i="8"/>
  <c r="C227" i="8"/>
  <c r="I226" i="8"/>
  <c r="J226" i="8" s="1"/>
  <c r="G226" i="8"/>
  <c r="C226" i="8"/>
  <c r="I225" i="8"/>
  <c r="J225" i="8" s="1"/>
  <c r="G225" i="8"/>
  <c r="C225" i="8"/>
  <c r="I224" i="8"/>
  <c r="J224" i="8" s="1"/>
  <c r="G224" i="8"/>
  <c r="C224" i="8"/>
  <c r="L223" i="8"/>
  <c r="G223" i="8"/>
  <c r="C223" i="8"/>
  <c r="G219" i="8"/>
  <c r="C219" i="8"/>
  <c r="G218" i="8"/>
  <c r="C218" i="8"/>
  <c r="L217" i="8"/>
  <c r="G217" i="8"/>
  <c r="C217" i="8"/>
  <c r="G213" i="8"/>
  <c r="C213" i="8"/>
  <c r="G212" i="8"/>
  <c r="C212" i="8"/>
  <c r="I211" i="8"/>
  <c r="J211" i="8" s="1"/>
  <c r="G211" i="8"/>
  <c r="C211" i="8"/>
  <c r="I210" i="8"/>
  <c r="J210" i="8" s="1"/>
  <c r="G210" i="8"/>
  <c r="C210" i="8"/>
  <c r="G209" i="8"/>
  <c r="C209" i="8"/>
  <c r="I208" i="8"/>
  <c r="J208" i="8" s="1"/>
  <c r="G208" i="8"/>
  <c r="C208" i="8"/>
  <c r="I207" i="8"/>
  <c r="J207" i="8" s="1"/>
  <c r="G207" i="8"/>
  <c r="C207" i="8"/>
  <c r="I206" i="8"/>
  <c r="J206" i="8" s="1"/>
  <c r="G206" i="8"/>
  <c r="C206" i="8"/>
  <c r="I205" i="8"/>
  <c r="J205" i="8" s="1"/>
  <c r="G205" i="8"/>
  <c r="C205" i="8"/>
  <c r="I204" i="8"/>
  <c r="J204" i="8" s="1"/>
  <c r="G204" i="8"/>
  <c r="C204" i="8"/>
  <c r="L203" i="8"/>
  <c r="G203" i="8"/>
  <c r="C203" i="8"/>
  <c r="G199" i="8"/>
  <c r="C199" i="8"/>
  <c r="I198" i="8"/>
  <c r="J198" i="8" s="1"/>
  <c r="G198" i="8"/>
  <c r="C198" i="8"/>
  <c r="G197" i="8"/>
  <c r="C197" i="8"/>
  <c r="G196" i="8"/>
  <c r="C196" i="8"/>
  <c r="G195" i="8"/>
  <c r="C195" i="8"/>
  <c r="G194" i="8"/>
  <c r="C194" i="8"/>
  <c r="I193" i="8"/>
  <c r="J193" i="8" s="1"/>
  <c r="G193" i="8"/>
  <c r="C193" i="8"/>
  <c r="I192" i="8"/>
  <c r="J192" i="8" s="1"/>
  <c r="G192" i="8"/>
  <c r="C192" i="8"/>
  <c r="I191" i="8"/>
  <c r="J191" i="8" s="1"/>
  <c r="G191" i="8"/>
  <c r="C191" i="8"/>
  <c r="I190" i="8"/>
  <c r="J190" i="8" s="1"/>
  <c r="G190" i="8"/>
  <c r="C190" i="8"/>
  <c r="I189" i="8"/>
  <c r="J189" i="8" s="1"/>
  <c r="G189" i="8"/>
  <c r="C189" i="8"/>
  <c r="G188" i="8"/>
  <c r="C188" i="8"/>
  <c r="G187" i="8"/>
  <c r="C187" i="8"/>
  <c r="G186" i="8"/>
  <c r="C186" i="8"/>
  <c r="I185" i="8"/>
  <c r="J185" i="8" s="1"/>
  <c r="G185" i="8"/>
  <c r="C185" i="8"/>
  <c r="G184" i="8"/>
  <c r="C184" i="8"/>
  <c r="I183" i="8"/>
  <c r="J183" i="8" s="1"/>
  <c r="G183" i="8"/>
  <c r="C183" i="8"/>
  <c r="G182" i="8"/>
  <c r="C182" i="8"/>
  <c r="G181" i="8"/>
  <c r="C181" i="8"/>
  <c r="G177" i="8"/>
  <c r="C177" i="8"/>
  <c r="G176" i="8"/>
  <c r="C176" i="8"/>
  <c r="I175" i="8"/>
  <c r="J175" i="8" s="1"/>
  <c r="G175" i="8"/>
  <c r="C175" i="8"/>
  <c r="G174" i="8"/>
  <c r="C174" i="8"/>
  <c r="I173" i="8"/>
  <c r="J173" i="8" s="1"/>
  <c r="G173" i="8"/>
  <c r="C173" i="8"/>
  <c r="I172" i="8"/>
  <c r="J172" i="8" s="1"/>
  <c r="G172" i="8"/>
  <c r="C172" i="8"/>
  <c r="I171" i="8"/>
  <c r="J171" i="8" s="1"/>
  <c r="G171" i="8"/>
  <c r="C171" i="8"/>
  <c r="I170" i="8"/>
  <c r="J170" i="8" s="1"/>
  <c r="G170" i="8"/>
  <c r="C170" i="8"/>
  <c r="I169" i="8"/>
  <c r="J169" i="8" s="1"/>
  <c r="G169" i="8"/>
  <c r="C169" i="8"/>
  <c r="I168" i="8"/>
  <c r="J168" i="8" s="1"/>
  <c r="G168" i="8"/>
  <c r="C168" i="8"/>
  <c r="I167" i="8"/>
  <c r="J167" i="8" s="1"/>
  <c r="G167" i="8"/>
  <c r="C167" i="8"/>
  <c r="I166" i="8"/>
  <c r="J166" i="8" s="1"/>
  <c r="G166" i="8"/>
  <c r="C166" i="8"/>
  <c r="L165" i="8"/>
  <c r="G165" i="8"/>
  <c r="C165" i="8"/>
  <c r="G161" i="8"/>
  <c r="C161" i="8"/>
  <c r="I160" i="8"/>
  <c r="J160" i="8" s="1"/>
  <c r="G160" i="8"/>
  <c r="C160" i="8"/>
  <c r="G159" i="8"/>
  <c r="C159" i="8"/>
  <c r="G158" i="8"/>
  <c r="C158" i="8"/>
  <c r="I157" i="8"/>
  <c r="J157" i="8" s="1"/>
  <c r="G157" i="8"/>
  <c r="C157" i="8"/>
  <c r="G156" i="8"/>
  <c r="C156" i="8"/>
  <c r="I155" i="8"/>
  <c r="J155" i="8" s="1"/>
  <c r="G155" i="8"/>
  <c r="C155" i="8"/>
  <c r="G154" i="8"/>
  <c r="C154" i="8"/>
  <c r="I153" i="8"/>
  <c r="J153" i="8" s="1"/>
  <c r="G153" i="8"/>
  <c r="C153" i="8"/>
  <c r="I152" i="8"/>
  <c r="J152" i="8" s="1"/>
  <c r="G152" i="8"/>
  <c r="C152" i="8"/>
  <c r="I151" i="8"/>
  <c r="J151" i="8" s="1"/>
  <c r="G151" i="8"/>
  <c r="C151" i="8"/>
  <c r="I150" i="8"/>
  <c r="J150" i="8" s="1"/>
  <c r="G150" i="8"/>
  <c r="C150" i="8"/>
  <c r="I149" i="8"/>
  <c r="J149" i="8" s="1"/>
  <c r="G149" i="8"/>
  <c r="C149" i="8"/>
  <c r="G148" i="8"/>
  <c r="C148" i="8"/>
  <c r="G147" i="8"/>
  <c r="C147" i="8"/>
  <c r="G146" i="8"/>
  <c r="C146" i="8"/>
  <c r="G145" i="8"/>
  <c r="C145" i="8"/>
  <c r="I144" i="8"/>
  <c r="J144" i="8" s="1"/>
  <c r="G144" i="8"/>
  <c r="C144" i="8"/>
  <c r="G143" i="8"/>
  <c r="C143" i="8"/>
  <c r="I142" i="8"/>
  <c r="J142" i="8" s="1"/>
  <c r="G142" i="8"/>
  <c r="C142" i="8"/>
  <c r="G141" i="8"/>
  <c r="C141" i="8"/>
  <c r="L140" i="8"/>
  <c r="G140" i="8"/>
  <c r="C140" i="8"/>
  <c r="G136" i="8"/>
  <c r="C136" i="8"/>
  <c r="I135" i="8"/>
  <c r="J135" i="8" s="1"/>
  <c r="G135" i="8"/>
  <c r="C135" i="8"/>
  <c r="G134" i="8"/>
  <c r="C134" i="8"/>
  <c r="G133" i="8"/>
  <c r="C133" i="8"/>
  <c r="I132" i="8"/>
  <c r="J132" i="8" s="1"/>
  <c r="G132" i="8"/>
  <c r="C132" i="8"/>
  <c r="G131" i="8"/>
  <c r="C131" i="8"/>
  <c r="I130" i="8"/>
  <c r="J130" i="8" s="1"/>
  <c r="G130" i="8"/>
  <c r="C130" i="8"/>
  <c r="I129" i="8"/>
  <c r="J129" i="8" s="1"/>
  <c r="G129" i="8"/>
  <c r="C129" i="8"/>
  <c r="G128" i="8"/>
  <c r="C128" i="8"/>
  <c r="I127" i="8"/>
  <c r="J127" i="8" s="1"/>
  <c r="G127" i="8"/>
  <c r="C127" i="8"/>
  <c r="G126" i="8"/>
  <c r="C126" i="8"/>
  <c r="I125" i="8"/>
  <c r="J125" i="8" s="1"/>
  <c r="G125" i="8"/>
  <c r="C125" i="8"/>
  <c r="I124" i="8"/>
  <c r="J124" i="8" s="1"/>
  <c r="G124" i="8"/>
  <c r="C124" i="8"/>
  <c r="I123" i="8"/>
  <c r="J123" i="8" s="1"/>
  <c r="G123" i="8"/>
  <c r="C123" i="8"/>
  <c r="I122" i="8"/>
  <c r="J122" i="8" s="1"/>
  <c r="G122" i="8"/>
  <c r="C122" i="8"/>
  <c r="G121" i="8"/>
  <c r="C121" i="8"/>
  <c r="G120" i="8"/>
  <c r="C120" i="8"/>
  <c r="G119" i="8"/>
  <c r="C119" i="8"/>
  <c r="I118" i="8"/>
  <c r="J118" i="8" s="1"/>
  <c r="G118" i="8"/>
  <c r="C118" i="8"/>
  <c r="I117" i="8"/>
  <c r="J117" i="8" s="1"/>
  <c r="G117" i="8"/>
  <c r="C117" i="8"/>
  <c r="I116" i="8"/>
  <c r="J116" i="8" s="1"/>
  <c r="G116" i="8"/>
  <c r="C116" i="8"/>
  <c r="I115" i="8"/>
  <c r="J115" i="8" s="1"/>
  <c r="G115" i="8"/>
  <c r="C115" i="8"/>
  <c r="G114" i="8"/>
  <c r="C114" i="8"/>
  <c r="I113" i="8"/>
  <c r="J113" i="8" s="1"/>
  <c r="G113" i="8"/>
  <c r="C113" i="8"/>
  <c r="G112" i="8"/>
  <c r="C112" i="8"/>
  <c r="L111" i="8"/>
  <c r="G111" i="8"/>
  <c r="C111" i="8"/>
  <c r="G107" i="8"/>
  <c r="C107" i="8"/>
  <c r="G106" i="8"/>
  <c r="C106" i="8"/>
  <c r="I105" i="8"/>
  <c r="J105" i="8" s="1"/>
  <c r="G105" i="8"/>
  <c r="C105" i="8"/>
  <c r="I104" i="8"/>
  <c r="J104" i="8" s="1"/>
  <c r="G104" i="8"/>
  <c r="C104" i="8"/>
  <c r="G103" i="8"/>
  <c r="C103" i="8"/>
  <c r="I102" i="8"/>
  <c r="J102" i="8" s="1"/>
  <c r="G102" i="8"/>
  <c r="C102" i="8"/>
  <c r="I101" i="8"/>
  <c r="J101" i="8" s="1"/>
  <c r="G101" i="8"/>
  <c r="C101" i="8"/>
  <c r="G100" i="8"/>
  <c r="C100" i="8"/>
  <c r="L99" i="8"/>
  <c r="G99" i="8"/>
  <c r="C99" i="8"/>
  <c r="G95" i="8"/>
  <c r="C95" i="8"/>
  <c r="G94" i="8"/>
  <c r="C94" i="8"/>
  <c r="I93" i="8"/>
  <c r="J93" i="8" s="1"/>
  <c r="G93" i="8"/>
  <c r="C93" i="8"/>
  <c r="L92" i="8"/>
  <c r="G92" i="8"/>
  <c r="C92" i="8"/>
  <c r="G88" i="8"/>
  <c r="C88" i="8"/>
  <c r="I87" i="8"/>
  <c r="J87" i="8" s="1"/>
  <c r="G87" i="8"/>
  <c r="C87" i="8"/>
  <c r="G86" i="8"/>
  <c r="C86" i="8"/>
  <c r="G85" i="8"/>
  <c r="C85" i="8"/>
  <c r="I84" i="8"/>
  <c r="J84" i="8" s="1"/>
  <c r="G84" i="8"/>
  <c r="C84" i="8"/>
  <c r="G83" i="8"/>
  <c r="C83" i="8"/>
  <c r="I82" i="8"/>
  <c r="J82" i="8" s="1"/>
  <c r="G82" i="8"/>
  <c r="C82" i="8"/>
  <c r="I81" i="8"/>
  <c r="J81" i="8" s="1"/>
  <c r="G81" i="8"/>
  <c r="C81" i="8"/>
  <c r="I80" i="8"/>
  <c r="J80" i="8" s="1"/>
  <c r="G80" i="8"/>
  <c r="C80" i="8"/>
  <c r="G79" i="8"/>
  <c r="C79" i="8"/>
  <c r="G78" i="8"/>
  <c r="C78" i="8"/>
  <c r="G77" i="8"/>
  <c r="C77" i="8"/>
  <c r="G76" i="8"/>
  <c r="C76" i="8"/>
  <c r="I75" i="8"/>
  <c r="J75" i="8" s="1"/>
  <c r="G75" i="8"/>
  <c r="C75" i="8"/>
  <c r="I74" i="8"/>
  <c r="J74" i="8" s="1"/>
  <c r="G74" i="8"/>
  <c r="C74" i="8"/>
  <c r="G73" i="8"/>
  <c r="C73" i="8"/>
  <c r="I72" i="8"/>
  <c r="J72" i="8" s="1"/>
  <c r="G72" i="8"/>
  <c r="C72" i="8"/>
  <c r="G71" i="8"/>
  <c r="C71" i="8"/>
  <c r="G70" i="8"/>
  <c r="C70" i="8"/>
  <c r="I66" i="8"/>
  <c r="J66" i="8" s="1"/>
  <c r="J67" i="8" s="1"/>
  <c r="G66" i="8"/>
  <c r="C66" i="8"/>
  <c r="L65" i="8"/>
  <c r="G65" i="8"/>
  <c r="C65" i="8"/>
  <c r="I61" i="8"/>
  <c r="J61" i="8" s="1"/>
  <c r="J62" i="8" s="1"/>
  <c r="G61" i="8"/>
  <c r="C61" i="8"/>
  <c r="G60" i="8"/>
  <c r="C60" i="8"/>
  <c r="G56" i="8"/>
  <c r="C56" i="8"/>
  <c r="G55" i="8"/>
  <c r="C55" i="8"/>
  <c r="G54" i="8"/>
  <c r="C54" i="8"/>
  <c r="G50" i="8"/>
  <c r="C50" i="8"/>
  <c r="G49" i="8"/>
  <c r="C49" i="8"/>
  <c r="G48" i="8"/>
  <c r="C48" i="8"/>
  <c r="G47" i="8"/>
  <c r="C47" i="8"/>
  <c r="L46" i="8"/>
  <c r="G46" i="8"/>
  <c r="C46" i="8"/>
  <c r="G42" i="8"/>
  <c r="C42" i="8"/>
  <c r="G41" i="8"/>
  <c r="C41" i="8"/>
  <c r="I40" i="8"/>
  <c r="J40" i="8" s="1"/>
  <c r="G40" i="8"/>
  <c r="C40" i="8"/>
  <c r="G39" i="8"/>
  <c r="C39" i="8"/>
  <c r="I38" i="8"/>
  <c r="J38" i="8" s="1"/>
  <c r="G38" i="8"/>
  <c r="C38" i="8"/>
  <c r="I37" i="8"/>
  <c r="J37" i="8" s="1"/>
  <c r="G37" i="8"/>
  <c r="C37" i="8"/>
  <c r="I36" i="8"/>
  <c r="J36" i="8" s="1"/>
  <c r="G36" i="8"/>
  <c r="C36" i="8"/>
  <c r="I35" i="8"/>
  <c r="J35" i="8" s="1"/>
  <c r="G35" i="8"/>
  <c r="C35" i="8"/>
  <c r="G34" i="8"/>
  <c r="C34" i="8"/>
  <c r="G30" i="8"/>
  <c r="C30" i="8"/>
  <c r="I29" i="8"/>
  <c r="J29" i="8" s="1"/>
  <c r="G29" i="8"/>
  <c r="C29" i="8"/>
  <c r="G28" i="8"/>
  <c r="C28" i="8"/>
  <c r="I27" i="8"/>
  <c r="J27" i="8" s="1"/>
  <c r="G27" i="8"/>
  <c r="C27" i="8"/>
  <c r="I26" i="8"/>
  <c r="J26" i="8" s="1"/>
  <c r="G26" i="8"/>
  <c r="C26" i="8"/>
  <c r="I25" i="8"/>
  <c r="J25" i="8" s="1"/>
  <c r="G25" i="8"/>
  <c r="C25" i="8"/>
  <c r="I24" i="8"/>
  <c r="J24" i="8" s="1"/>
  <c r="G24" i="8"/>
  <c r="C24" i="8"/>
  <c r="I23" i="8"/>
  <c r="J23" i="8" s="1"/>
  <c r="G23" i="8"/>
  <c r="C23" i="8"/>
  <c r="L22" i="8"/>
  <c r="G22" i="8"/>
  <c r="C22" i="8"/>
  <c r="G18" i="8"/>
  <c r="C18" i="8"/>
  <c r="L17" i="8"/>
  <c r="G17" i="8"/>
  <c r="C17" i="8"/>
  <c r="I13" i="8"/>
  <c r="J13" i="8" s="1"/>
  <c r="J14" i="8" s="1"/>
  <c r="G13" i="8"/>
  <c r="C13" i="8"/>
  <c r="L12" i="8"/>
  <c r="G12" i="8"/>
  <c r="C12" i="8"/>
  <c r="G8" i="8"/>
  <c r="C8" i="8"/>
  <c r="G7" i="8"/>
  <c r="C7" i="8"/>
  <c r="B5" i="8"/>
  <c r="A2" i="8"/>
  <c r="A1" i="8"/>
  <c r="G1447" i="7"/>
  <c r="C1447" i="7"/>
  <c r="G1446" i="7"/>
  <c r="C1446" i="7"/>
  <c r="G1445" i="7"/>
  <c r="C1445" i="7"/>
  <c r="L1444" i="7"/>
  <c r="G1444" i="7"/>
  <c r="C1444" i="7"/>
  <c r="G1440" i="7"/>
  <c r="C1440" i="7"/>
  <c r="G1439" i="7"/>
  <c r="C1439" i="7"/>
  <c r="G1438" i="7"/>
  <c r="C1438" i="7"/>
  <c r="G1437" i="7"/>
  <c r="C1437" i="7"/>
  <c r="G1433" i="7"/>
  <c r="C1433" i="7"/>
  <c r="G1432" i="7"/>
  <c r="C1432" i="7"/>
  <c r="G1431" i="7"/>
  <c r="C1431" i="7"/>
  <c r="L1430" i="7"/>
  <c r="G1430" i="7"/>
  <c r="C1430" i="7"/>
  <c r="G1426" i="7"/>
  <c r="C1426" i="7"/>
  <c r="G1425" i="7"/>
  <c r="C1425" i="7"/>
  <c r="I1424" i="7"/>
  <c r="J1424" i="7" s="1"/>
  <c r="G1424" i="7"/>
  <c r="C1424" i="7"/>
  <c r="L1423" i="7"/>
  <c r="G1423" i="7"/>
  <c r="C1423" i="7"/>
  <c r="G1419" i="7"/>
  <c r="C1419" i="7"/>
  <c r="G1418" i="7"/>
  <c r="C1418" i="7"/>
  <c r="G1417" i="7"/>
  <c r="C1417" i="7"/>
  <c r="L1416" i="7"/>
  <c r="G1416" i="7"/>
  <c r="C1416" i="7"/>
  <c r="G1412" i="7"/>
  <c r="C1412" i="7"/>
  <c r="G1411" i="7"/>
  <c r="C1411" i="7"/>
  <c r="I1410" i="7"/>
  <c r="J1410" i="7" s="1"/>
  <c r="G1410" i="7"/>
  <c r="C1410" i="7"/>
  <c r="G1409" i="7"/>
  <c r="C1409" i="7"/>
  <c r="G1405" i="7"/>
  <c r="C1405" i="7"/>
  <c r="I1404" i="7"/>
  <c r="J1404" i="7" s="1"/>
  <c r="G1404" i="7"/>
  <c r="C1404" i="7"/>
  <c r="I1403" i="7"/>
  <c r="J1403" i="7" s="1"/>
  <c r="G1403" i="7"/>
  <c r="C1403" i="7"/>
  <c r="L1402" i="7"/>
  <c r="G1402" i="7"/>
  <c r="C1402" i="7"/>
  <c r="G1398" i="7"/>
  <c r="C1398" i="7"/>
  <c r="I1397" i="7"/>
  <c r="J1397" i="7" s="1"/>
  <c r="G1397" i="7"/>
  <c r="C1397" i="7"/>
  <c r="G1396" i="7"/>
  <c r="C1396" i="7"/>
  <c r="G1395" i="7"/>
  <c r="C1395" i="7"/>
  <c r="G1391" i="7"/>
  <c r="C1391" i="7"/>
  <c r="G1390" i="7"/>
  <c r="C1390" i="7"/>
  <c r="I1389" i="7"/>
  <c r="J1389" i="7" s="1"/>
  <c r="G1389" i="7"/>
  <c r="C1389" i="7"/>
  <c r="G1388" i="7"/>
  <c r="C1388" i="7"/>
  <c r="G1384" i="7"/>
  <c r="C1384" i="7"/>
  <c r="G1383" i="7"/>
  <c r="C1383" i="7"/>
  <c r="I1382" i="7"/>
  <c r="J1382" i="7" s="1"/>
  <c r="G1382" i="7"/>
  <c r="C1382" i="7"/>
  <c r="I1381" i="7"/>
  <c r="J1381" i="7" s="1"/>
  <c r="G1381" i="7"/>
  <c r="C1381" i="7"/>
  <c r="I1380" i="7"/>
  <c r="J1380" i="7" s="1"/>
  <c r="G1380" i="7"/>
  <c r="C1380" i="7"/>
  <c r="I1379" i="7"/>
  <c r="J1379" i="7" s="1"/>
  <c r="G1379" i="7"/>
  <c r="C1379" i="7"/>
  <c r="I1378" i="7"/>
  <c r="J1378" i="7" s="1"/>
  <c r="G1378" i="7"/>
  <c r="C1378" i="7"/>
  <c r="I1377" i="7"/>
  <c r="J1377" i="7" s="1"/>
  <c r="G1377" i="7"/>
  <c r="C1377" i="7"/>
  <c r="G1376" i="7"/>
  <c r="C1376" i="7"/>
  <c r="G1372" i="7"/>
  <c r="C1372" i="7"/>
  <c r="G1371" i="7"/>
  <c r="C1371" i="7"/>
  <c r="I1370" i="7"/>
  <c r="J1370" i="7" s="1"/>
  <c r="G1370" i="7"/>
  <c r="C1370" i="7"/>
  <c r="I1369" i="7"/>
  <c r="J1369" i="7" s="1"/>
  <c r="G1369" i="7"/>
  <c r="C1369" i="7"/>
  <c r="I1368" i="7"/>
  <c r="G1368" i="7"/>
  <c r="C1368" i="7"/>
  <c r="I1367" i="7"/>
  <c r="J1367" i="7" s="1"/>
  <c r="G1367" i="7"/>
  <c r="C1367" i="7"/>
  <c r="I1366" i="7"/>
  <c r="J1366" i="7" s="1"/>
  <c r="G1366" i="7"/>
  <c r="C1366" i="7"/>
  <c r="I1365" i="7"/>
  <c r="J1365" i="7" s="1"/>
  <c r="G1365" i="7"/>
  <c r="C1365" i="7"/>
  <c r="G1364" i="7"/>
  <c r="C1364" i="7"/>
  <c r="G1360" i="7"/>
  <c r="C1360" i="7"/>
  <c r="G1359" i="7"/>
  <c r="C1359" i="7"/>
  <c r="G1358" i="7"/>
  <c r="C1358" i="7"/>
  <c r="G1357" i="7"/>
  <c r="C1357" i="7"/>
  <c r="I1356" i="7"/>
  <c r="J1356" i="7" s="1"/>
  <c r="G1356" i="7"/>
  <c r="C1356" i="7"/>
  <c r="I1355" i="7"/>
  <c r="J1355" i="7" s="1"/>
  <c r="G1355" i="7"/>
  <c r="C1355" i="7"/>
  <c r="G1354" i="7"/>
  <c r="C1354" i="7"/>
  <c r="L1353" i="7"/>
  <c r="G1353" i="7"/>
  <c r="C1353" i="7"/>
  <c r="G1349" i="7"/>
  <c r="C1349" i="7"/>
  <c r="I1348" i="7"/>
  <c r="J1348" i="7" s="1"/>
  <c r="G1348" i="7"/>
  <c r="C1348" i="7"/>
  <c r="G1347" i="7"/>
  <c r="C1347" i="7"/>
  <c r="G1346" i="7"/>
  <c r="C1346" i="7"/>
  <c r="G1345" i="7"/>
  <c r="C1345" i="7"/>
  <c r="G1344" i="7"/>
  <c r="C1344" i="7"/>
  <c r="I1343" i="7"/>
  <c r="J1343" i="7" s="1"/>
  <c r="G1343" i="7"/>
  <c r="C1343" i="7"/>
  <c r="I1342" i="7"/>
  <c r="J1342" i="7" s="1"/>
  <c r="G1342" i="7"/>
  <c r="C1342" i="7"/>
  <c r="I1341" i="7"/>
  <c r="J1341" i="7" s="1"/>
  <c r="G1341" i="7"/>
  <c r="C1341" i="7"/>
  <c r="I1340" i="7"/>
  <c r="J1340" i="7" s="1"/>
  <c r="G1340" i="7"/>
  <c r="C1340" i="7"/>
  <c r="I1339" i="7"/>
  <c r="J1339" i="7" s="1"/>
  <c r="G1339" i="7"/>
  <c r="C1339" i="7"/>
  <c r="G1338" i="7"/>
  <c r="C1338" i="7"/>
  <c r="G1337" i="7"/>
  <c r="C1337" i="7"/>
  <c r="G1336" i="7"/>
  <c r="C1336" i="7"/>
  <c r="I1335" i="7"/>
  <c r="J1335" i="7" s="1"/>
  <c r="G1335" i="7"/>
  <c r="C1335" i="7"/>
  <c r="G1334" i="7"/>
  <c r="C1334" i="7"/>
  <c r="I1333" i="7"/>
  <c r="J1333" i="7" s="1"/>
  <c r="G1333" i="7"/>
  <c r="C1333" i="7"/>
  <c r="G1332" i="7"/>
  <c r="C1332" i="7"/>
  <c r="G1331" i="7"/>
  <c r="C1331" i="7"/>
  <c r="G1327" i="7"/>
  <c r="C1327" i="7"/>
  <c r="I1326" i="7"/>
  <c r="J1326" i="7" s="1"/>
  <c r="G1326" i="7"/>
  <c r="C1326" i="7"/>
  <c r="G1325" i="7"/>
  <c r="C1325" i="7"/>
  <c r="I1324" i="7"/>
  <c r="J1324" i="7" s="1"/>
  <c r="G1324" i="7"/>
  <c r="C1324" i="7"/>
  <c r="I1323" i="7"/>
  <c r="J1323" i="7" s="1"/>
  <c r="G1323" i="7"/>
  <c r="C1323" i="7"/>
  <c r="I1322" i="7"/>
  <c r="J1322" i="7" s="1"/>
  <c r="G1322" i="7"/>
  <c r="C1322" i="7"/>
  <c r="I1321" i="7"/>
  <c r="J1321" i="7" s="1"/>
  <c r="G1321" i="7"/>
  <c r="C1321" i="7"/>
  <c r="G1320" i="7"/>
  <c r="C1320" i="7"/>
  <c r="L1319" i="7"/>
  <c r="G1319" i="7"/>
  <c r="C1319" i="7"/>
  <c r="I1315" i="7"/>
  <c r="J1315" i="7" s="1"/>
  <c r="J1316" i="7" s="1"/>
  <c r="I1314" i="7" s="1"/>
  <c r="G1315" i="7"/>
  <c r="C1315" i="7"/>
  <c r="L1314" i="7"/>
  <c r="G1314" i="7"/>
  <c r="C1314" i="7"/>
  <c r="I1310" i="7"/>
  <c r="J1310" i="7" s="1"/>
  <c r="G1310" i="7"/>
  <c r="C1310" i="7"/>
  <c r="I1309" i="7"/>
  <c r="J1309" i="7" s="1"/>
  <c r="G1309" i="7"/>
  <c r="C1309" i="7"/>
  <c r="L1308" i="7"/>
  <c r="G1308" i="7"/>
  <c r="C1308" i="7"/>
  <c r="I1304" i="7"/>
  <c r="J1304" i="7" s="1"/>
  <c r="G1304" i="7"/>
  <c r="C1304" i="7"/>
  <c r="I1303" i="7"/>
  <c r="J1303" i="7" s="1"/>
  <c r="G1303" i="7"/>
  <c r="C1303" i="7"/>
  <c r="L1302" i="7"/>
  <c r="G1302" i="7"/>
  <c r="C1302" i="7"/>
  <c r="I1298" i="7"/>
  <c r="J1298" i="7" s="1"/>
  <c r="J1299" i="7" s="1"/>
  <c r="I1297" i="7" s="1"/>
  <c r="G1298" i="7"/>
  <c r="C1298" i="7"/>
  <c r="G1297" i="7"/>
  <c r="C1297" i="7"/>
  <c r="I1293" i="7"/>
  <c r="J1293" i="7" s="1"/>
  <c r="G1293" i="7"/>
  <c r="C1293" i="7"/>
  <c r="I1292" i="7"/>
  <c r="J1292" i="7" s="1"/>
  <c r="G1292" i="7"/>
  <c r="C1292" i="7"/>
  <c r="I1291" i="7"/>
  <c r="J1291" i="7" s="1"/>
  <c r="G1291" i="7"/>
  <c r="C1291" i="7"/>
  <c r="I1290" i="7"/>
  <c r="J1290" i="7" s="1"/>
  <c r="G1290" i="7"/>
  <c r="C1290" i="7"/>
  <c r="G1289" i="7"/>
  <c r="C1289" i="7"/>
  <c r="L1288" i="7"/>
  <c r="G1288" i="7"/>
  <c r="C1288" i="7"/>
  <c r="G1284" i="7"/>
  <c r="C1284" i="7"/>
  <c r="G1283" i="7"/>
  <c r="C1283" i="7"/>
  <c r="G1282" i="7"/>
  <c r="C1282" i="7"/>
  <c r="L1281" i="7"/>
  <c r="G1281" i="7"/>
  <c r="C1281" i="7"/>
  <c r="G1277" i="7"/>
  <c r="C1277" i="7"/>
  <c r="G1276" i="7"/>
  <c r="C1276" i="7"/>
  <c r="G1275" i="7"/>
  <c r="C1275" i="7"/>
  <c r="I1274" i="7"/>
  <c r="J1274" i="7" s="1"/>
  <c r="G1274" i="7"/>
  <c r="C1274" i="7"/>
  <c r="L1273" i="7"/>
  <c r="G1273" i="7"/>
  <c r="C1273" i="7"/>
  <c r="G1269" i="7"/>
  <c r="C1269" i="7"/>
  <c r="G1268" i="7"/>
  <c r="C1268" i="7"/>
  <c r="I1267" i="7"/>
  <c r="J1267" i="7" s="1"/>
  <c r="G1267" i="7"/>
  <c r="C1267" i="7"/>
  <c r="I1266" i="7"/>
  <c r="J1266" i="7" s="1"/>
  <c r="G1266" i="7"/>
  <c r="C1266" i="7"/>
  <c r="G1265" i="7"/>
  <c r="C1265" i="7"/>
  <c r="G1261" i="7"/>
  <c r="C1261" i="7"/>
  <c r="G1260" i="7"/>
  <c r="C1260" i="7"/>
  <c r="L1259" i="7"/>
  <c r="G1259" i="7"/>
  <c r="C1259" i="7"/>
  <c r="G1255" i="7"/>
  <c r="C1255" i="7"/>
  <c r="G1254" i="7"/>
  <c r="C1254" i="7"/>
  <c r="G1253" i="7"/>
  <c r="C1253" i="7"/>
  <c r="I1252" i="7"/>
  <c r="J1252" i="7" s="1"/>
  <c r="G1252" i="7"/>
  <c r="C1252" i="7"/>
  <c r="I1251" i="7"/>
  <c r="J1251" i="7" s="1"/>
  <c r="G1251" i="7"/>
  <c r="C1251" i="7"/>
  <c r="L1250" i="7"/>
  <c r="G1250" i="7"/>
  <c r="C1250" i="7"/>
  <c r="G1246" i="7"/>
  <c r="C1246" i="7"/>
  <c r="G1245" i="7"/>
  <c r="C1245" i="7"/>
  <c r="G1244" i="7"/>
  <c r="C1244" i="7"/>
  <c r="I1243" i="7"/>
  <c r="J1243" i="7" s="1"/>
  <c r="G1243" i="7"/>
  <c r="C1243" i="7"/>
  <c r="I1242" i="7"/>
  <c r="G1242" i="7"/>
  <c r="C1242" i="7"/>
  <c r="G1241" i="7"/>
  <c r="C1241" i="7"/>
  <c r="G1237" i="7"/>
  <c r="C1237" i="7"/>
  <c r="G1236" i="7"/>
  <c r="C1236" i="7"/>
  <c r="G1235" i="7"/>
  <c r="C1235" i="7"/>
  <c r="I1234" i="7"/>
  <c r="J1234" i="7" s="1"/>
  <c r="G1234" i="7"/>
  <c r="C1234" i="7"/>
  <c r="I1233" i="7"/>
  <c r="J1233" i="7" s="1"/>
  <c r="G1233" i="7"/>
  <c r="C1233" i="7"/>
  <c r="L1232" i="7"/>
  <c r="G1232" i="7"/>
  <c r="C1232" i="7"/>
  <c r="G1228" i="7"/>
  <c r="C1228" i="7"/>
  <c r="G1227" i="7"/>
  <c r="C1227" i="7"/>
  <c r="I1226" i="7"/>
  <c r="J1226" i="7" s="1"/>
  <c r="G1226" i="7"/>
  <c r="C1226" i="7"/>
  <c r="I1225" i="7"/>
  <c r="J1225" i="7" s="1"/>
  <c r="G1225" i="7"/>
  <c r="C1225" i="7"/>
  <c r="I1224" i="7"/>
  <c r="J1224" i="7" s="1"/>
  <c r="G1224" i="7"/>
  <c r="C1224" i="7"/>
  <c r="I1223" i="7"/>
  <c r="J1223" i="7" s="1"/>
  <c r="G1223" i="7"/>
  <c r="C1223" i="7"/>
  <c r="G1222" i="7"/>
  <c r="C1222" i="7"/>
  <c r="G1218" i="7"/>
  <c r="C1218" i="7"/>
  <c r="G1217" i="7"/>
  <c r="C1217" i="7"/>
  <c r="G1216" i="7"/>
  <c r="C1216" i="7"/>
  <c r="I1215" i="7"/>
  <c r="J1215" i="7" s="1"/>
  <c r="G1215" i="7"/>
  <c r="C1215" i="7"/>
  <c r="I1214" i="7"/>
  <c r="J1214" i="7" s="1"/>
  <c r="G1214" i="7"/>
  <c r="C1214" i="7"/>
  <c r="L1213" i="7"/>
  <c r="G1213" i="7"/>
  <c r="C1213" i="7"/>
  <c r="G1209" i="7"/>
  <c r="C1209" i="7"/>
  <c r="G1208" i="7"/>
  <c r="C1208" i="7"/>
  <c r="G1207" i="7"/>
  <c r="C1207" i="7"/>
  <c r="I1206" i="7"/>
  <c r="J1206" i="7" s="1"/>
  <c r="G1206" i="7"/>
  <c r="C1206" i="7"/>
  <c r="I1205" i="7"/>
  <c r="J1205" i="7" s="1"/>
  <c r="G1205" i="7"/>
  <c r="C1205" i="7"/>
  <c r="L1204" i="7"/>
  <c r="G1204" i="7"/>
  <c r="C1204" i="7"/>
  <c r="G1200" i="7"/>
  <c r="C1200" i="7"/>
  <c r="G1199" i="7"/>
  <c r="C1199" i="7"/>
  <c r="G1198" i="7"/>
  <c r="C1198" i="7"/>
  <c r="I1197" i="7"/>
  <c r="J1197" i="7" s="1"/>
  <c r="G1197" i="7"/>
  <c r="C1197" i="7"/>
  <c r="I1196" i="7"/>
  <c r="J1196" i="7" s="1"/>
  <c r="G1196" i="7"/>
  <c r="C1196" i="7"/>
  <c r="G1195" i="7"/>
  <c r="C1195" i="7"/>
  <c r="G1191" i="7"/>
  <c r="C1191" i="7"/>
  <c r="G1190" i="7"/>
  <c r="C1190" i="7"/>
  <c r="G1189" i="7"/>
  <c r="C1189" i="7"/>
  <c r="I1188" i="7"/>
  <c r="J1188" i="7" s="1"/>
  <c r="G1188" i="7"/>
  <c r="C1188" i="7"/>
  <c r="I1187" i="7"/>
  <c r="J1187" i="7" s="1"/>
  <c r="G1187" i="7"/>
  <c r="C1187" i="7"/>
  <c r="G1186" i="7"/>
  <c r="C1186" i="7"/>
  <c r="G1182" i="7"/>
  <c r="C1182" i="7"/>
  <c r="G1181" i="7"/>
  <c r="C1181" i="7"/>
  <c r="I1180" i="7"/>
  <c r="J1180" i="7" s="1"/>
  <c r="G1180" i="7"/>
  <c r="C1180" i="7"/>
  <c r="I1179" i="7"/>
  <c r="J1179" i="7" s="1"/>
  <c r="G1179" i="7"/>
  <c r="C1179" i="7"/>
  <c r="I1178" i="7"/>
  <c r="J1178" i="7" s="1"/>
  <c r="G1178" i="7"/>
  <c r="C1178" i="7"/>
  <c r="I1177" i="7"/>
  <c r="J1177" i="7" s="1"/>
  <c r="G1177" i="7"/>
  <c r="C1177" i="7"/>
  <c r="G1176" i="7"/>
  <c r="C1176" i="7"/>
  <c r="G1172" i="7"/>
  <c r="C1172" i="7"/>
  <c r="G1171" i="7"/>
  <c r="C1171" i="7"/>
  <c r="G1170" i="7"/>
  <c r="C1170" i="7"/>
  <c r="I1169" i="7"/>
  <c r="J1169" i="7" s="1"/>
  <c r="G1169" i="7"/>
  <c r="C1169" i="7"/>
  <c r="I1168" i="7"/>
  <c r="J1168" i="7" s="1"/>
  <c r="G1168" i="7"/>
  <c r="C1168" i="7"/>
  <c r="L1167" i="7"/>
  <c r="G1167" i="7"/>
  <c r="C1167" i="7"/>
  <c r="G1163" i="7"/>
  <c r="C1163" i="7"/>
  <c r="G1162" i="7"/>
  <c r="C1162" i="7"/>
  <c r="G1161" i="7"/>
  <c r="C1161" i="7"/>
  <c r="I1160" i="7"/>
  <c r="J1160" i="7" s="1"/>
  <c r="G1160" i="7"/>
  <c r="C1160" i="7"/>
  <c r="I1159" i="7"/>
  <c r="J1159" i="7" s="1"/>
  <c r="G1159" i="7"/>
  <c r="C1159" i="7"/>
  <c r="G1158" i="7"/>
  <c r="C1158" i="7"/>
  <c r="G1154" i="7"/>
  <c r="C1154" i="7"/>
  <c r="G1153" i="7"/>
  <c r="C1153" i="7"/>
  <c r="G1152" i="7"/>
  <c r="C1152" i="7"/>
  <c r="I1151" i="7"/>
  <c r="J1151" i="7" s="1"/>
  <c r="G1151" i="7"/>
  <c r="C1151" i="7"/>
  <c r="I1150" i="7"/>
  <c r="J1150" i="7" s="1"/>
  <c r="G1150" i="7"/>
  <c r="C1150" i="7"/>
  <c r="L1149" i="7"/>
  <c r="G1149" i="7"/>
  <c r="C1149" i="7"/>
  <c r="G1145" i="7"/>
  <c r="C1145" i="7"/>
  <c r="G1144" i="7"/>
  <c r="C1144" i="7"/>
  <c r="G1143" i="7"/>
  <c r="C1143" i="7"/>
  <c r="G1142" i="7"/>
  <c r="C1142" i="7"/>
  <c r="I1141" i="7"/>
  <c r="J1141" i="7" s="1"/>
  <c r="G1141" i="7"/>
  <c r="C1141" i="7"/>
  <c r="L1140" i="7"/>
  <c r="G1140" i="7"/>
  <c r="C1140" i="7"/>
  <c r="G1136" i="7"/>
  <c r="C1136" i="7"/>
  <c r="G1135" i="7"/>
  <c r="C1135" i="7"/>
  <c r="G1134" i="7"/>
  <c r="C1134" i="7"/>
  <c r="I1133" i="7"/>
  <c r="J1133" i="7" s="1"/>
  <c r="G1133" i="7"/>
  <c r="C1133" i="7"/>
  <c r="I1132" i="7"/>
  <c r="J1132" i="7" s="1"/>
  <c r="G1132" i="7"/>
  <c r="C1132" i="7"/>
  <c r="L1131" i="7"/>
  <c r="G1131" i="7"/>
  <c r="C1131" i="7"/>
  <c r="G1127" i="7"/>
  <c r="C1127" i="7"/>
  <c r="G1126" i="7"/>
  <c r="C1126" i="7"/>
  <c r="I1125" i="7"/>
  <c r="J1125" i="7" s="1"/>
  <c r="G1125" i="7"/>
  <c r="C1125" i="7"/>
  <c r="I1124" i="7"/>
  <c r="J1124" i="7" s="1"/>
  <c r="G1124" i="7"/>
  <c r="C1124" i="7"/>
  <c r="I1123" i="7"/>
  <c r="J1123" i="7" s="1"/>
  <c r="G1123" i="7"/>
  <c r="C1123" i="7"/>
  <c r="I1122" i="7"/>
  <c r="J1122" i="7" s="1"/>
  <c r="G1122" i="7"/>
  <c r="C1122" i="7"/>
  <c r="L1121" i="7"/>
  <c r="G1121" i="7"/>
  <c r="C1121" i="7"/>
  <c r="G1117" i="7"/>
  <c r="C1117" i="7"/>
  <c r="G1116" i="7"/>
  <c r="C1116" i="7"/>
  <c r="G1115" i="7"/>
  <c r="C1115" i="7"/>
  <c r="I1114" i="7"/>
  <c r="J1114" i="7" s="1"/>
  <c r="G1114" i="7"/>
  <c r="C1114" i="7"/>
  <c r="I1113" i="7"/>
  <c r="J1113" i="7" s="1"/>
  <c r="G1113" i="7"/>
  <c r="C1113" i="7"/>
  <c r="L1112" i="7"/>
  <c r="G1112" i="7"/>
  <c r="C1112" i="7"/>
  <c r="G1108" i="7"/>
  <c r="C1108" i="7"/>
  <c r="G1107" i="7"/>
  <c r="C1107" i="7"/>
  <c r="G1106" i="7"/>
  <c r="C1106" i="7"/>
  <c r="I1105" i="7"/>
  <c r="J1105" i="7" s="1"/>
  <c r="G1105" i="7"/>
  <c r="C1105" i="7"/>
  <c r="I1104" i="7"/>
  <c r="J1104" i="7" s="1"/>
  <c r="G1104" i="7"/>
  <c r="C1104" i="7"/>
  <c r="L1103" i="7"/>
  <c r="G1103" i="7"/>
  <c r="C1103" i="7"/>
  <c r="G1099" i="7"/>
  <c r="C1099" i="7"/>
  <c r="G1098" i="7"/>
  <c r="C1098" i="7"/>
  <c r="G1097" i="7"/>
  <c r="C1097" i="7"/>
  <c r="I1096" i="7"/>
  <c r="J1096" i="7" s="1"/>
  <c r="G1096" i="7"/>
  <c r="C1096" i="7"/>
  <c r="I1095" i="7"/>
  <c r="J1095" i="7" s="1"/>
  <c r="G1095" i="7"/>
  <c r="C1095" i="7"/>
  <c r="I1094" i="7"/>
  <c r="J1094" i="7" s="1"/>
  <c r="G1094" i="7"/>
  <c r="C1094" i="7"/>
  <c r="L1093" i="7"/>
  <c r="G1093" i="7"/>
  <c r="C1093" i="7"/>
  <c r="G1089" i="7"/>
  <c r="C1089" i="7"/>
  <c r="G1088" i="7"/>
  <c r="C1088" i="7"/>
  <c r="I1087" i="7"/>
  <c r="J1087" i="7" s="1"/>
  <c r="G1087" i="7"/>
  <c r="C1087" i="7"/>
  <c r="I1086" i="7"/>
  <c r="J1086" i="7" s="1"/>
  <c r="G1086" i="7"/>
  <c r="C1086" i="7"/>
  <c r="G1085" i="7"/>
  <c r="C1085" i="7"/>
  <c r="I1084" i="7"/>
  <c r="J1084" i="7" s="1"/>
  <c r="G1084" i="7"/>
  <c r="C1084" i="7"/>
  <c r="I1083" i="7"/>
  <c r="J1083" i="7" s="1"/>
  <c r="G1083" i="7"/>
  <c r="C1083" i="7"/>
  <c r="G1082" i="7"/>
  <c r="C1082" i="7"/>
  <c r="G1081" i="7"/>
  <c r="C1081" i="7"/>
  <c r="G1077" i="7"/>
  <c r="C1077" i="7"/>
  <c r="G1076" i="7"/>
  <c r="C1076" i="7"/>
  <c r="L1075" i="7"/>
  <c r="G1075" i="7"/>
  <c r="C1075" i="7"/>
  <c r="G1071" i="7"/>
  <c r="C1071" i="7"/>
  <c r="G1070" i="7"/>
  <c r="C1070" i="7"/>
  <c r="G1069" i="7"/>
  <c r="C1069" i="7"/>
  <c r="G1065" i="7"/>
  <c r="C1065" i="7"/>
  <c r="G1064" i="7"/>
  <c r="C1064" i="7"/>
  <c r="I1063" i="7"/>
  <c r="J1063" i="7" s="1"/>
  <c r="G1063" i="7"/>
  <c r="C1063" i="7"/>
  <c r="I1062" i="7"/>
  <c r="J1062" i="7" s="1"/>
  <c r="G1062" i="7"/>
  <c r="C1062" i="7"/>
  <c r="G1061" i="7"/>
  <c r="C1061" i="7"/>
  <c r="I1060" i="7"/>
  <c r="J1060" i="7" s="1"/>
  <c r="G1060" i="7"/>
  <c r="C1060" i="7"/>
  <c r="I1059" i="7"/>
  <c r="J1059" i="7" s="1"/>
  <c r="G1059" i="7"/>
  <c r="C1059" i="7"/>
  <c r="I1058" i="7"/>
  <c r="J1058" i="7" s="1"/>
  <c r="G1058" i="7"/>
  <c r="C1058" i="7"/>
  <c r="I1057" i="7"/>
  <c r="J1057" i="7" s="1"/>
  <c r="G1057" i="7"/>
  <c r="C1057" i="7"/>
  <c r="I1056" i="7"/>
  <c r="J1056" i="7" s="1"/>
  <c r="G1056" i="7"/>
  <c r="C1056" i="7"/>
  <c r="G1055" i="7"/>
  <c r="C1055" i="7"/>
  <c r="G1051" i="7"/>
  <c r="C1051" i="7"/>
  <c r="I1050" i="7"/>
  <c r="J1050" i="7" s="1"/>
  <c r="G1050" i="7"/>
  <c r="C1050" i="7"/>
  <c r="L1049" i="7"/>
  <c r="G1049" i="7"/>
  <c r="C1049" i="7"/>
  <c r="G1045" i="7"/>
  <c r="C1045" i="7"/>
  <c r="G1044" i="7"/>
  <c r="C1044" i="7"/>
  <c r="G1043" i="7"/>
  <c r="C1043" i="7"/>
  <c r="G1042" i="7"/>
  <c r="C1042" i="7"/>
  <c r="G1038" i="7"/>
  <c r="C1038" i="7"/>
  <c r="G1037" i="7"/>
  <c r="C1037" i="7"/>
  <c r="G1036" i="7"/>
  <c r="C1036" i="7"/>
  <c r="I1035" i="7"/>
  <c r="J1035" i="7" s="1"/>
  <c r="G1035" i="7"/>
  <c r="C1035" i="7"/>
  <c r="L1034" i="7"/>
  <c r="G1034" i="7"/>
  <c r="C1034" i="7"/>
  <c r="G1030" i="7"/>
  <c r="C1030" i="7"/>
  <c r="G1029" i="7"/>
  <c r="C1029" i="7"/>
  <c r="I1028" i="7"/>
  <c r="J1028" i="7" s="1"/>
  <c r="G1028" i="7"/>
  <c r="C1028" i="7"/>
  <c r="I1027" i="7"/>
  <c r="G1027" i="7"/>
  <c r="C1027" i="7"/>
  <c r="L1026" i="7"/>
  <c r="G1026" i="7"/>
  <c r="C1026" i="7"/>
  <c r="G1022" i="7"/>
  <c r="C1022" i="7"/>
  <c r="G1021" i="7"/>
  <c r="C1021" i="7"/>
  <c r="G1020" i="7"/>
  <c r="C1020" i="7"/>
  <c r="G1016" i="7"/>
  <c r="C1016" i="7"/>
  <c r="G1015" i="7"/>
  <c r="C1015" i="7"/>
  <c r="I1014" i="7"/>
  <c r="J1014" i="7" s="1"/>
  <c r="G1014" i="7"/>
  <c r="C1014" i="7"/>
  <c r="I1013" i="7"/>
  <c r="J1013" i="7" s="1"/>
  <c r="G1013" i="7"/>
  <c r="C1013" i="7"/>
  <c r="G1012" i="7"/>
  <c r="C1012" i="7"/>
  <c r="I1011" i="7"/>
  <c r="J1011" i="7" s="1"/>
  <c r="G1011" i="7"/>
  <c r="C1011" i="7"/>
  <c r="G1010" i="7"/>
  <c r="C1010" i="7"/>
  <c r="G1006" i="7"/>
  <c r="C1006" i="7"/>
  <c r="G1005" i="7"/>
  <c r="C1005" i="7"/>
  <c r="I1004" i="7"/>
  <c r="J1004" i="7" s="1"/>
  <c r="G1004" i="7"/>
  <c r="C1004" i="7"/>
  <c r="I1003" i="7"/>
  <c r="J1003" i="7" s="1"/>
  <c r="G1003" i="7"/>
  <c r="C1003" i="7"/>
  <c r="I1002" i="7"/>
  <c r="J1002" i="7" s="1"/>
  <c r="G1002" i="7"/>
  <c r="C1002" i="7"/>
  <c r="I1001" i="7"/>
  <c r="J1001" i="7" s="1"/>
  <c r="G1001" i="7"/>
  <c r="C1001" i="7"/>
  <c r="L1000" i="7"/>
  <c r="G1000" i="7"/>
  <c r="C1000" i="7"/>
  <c r="G996" i="7"/>
  <c r="C996" i="7"/>
  <c r="G995" i="7"/>
  <c r="C995" i="7"/>
  <c r="I994" i="7"/>
  <c r="J994" i="7" s="1"/>
  <c r="G994" i="7"/>
  <c r="C994" i="7"/>
  <c r="I993" i="7"/>
  <c r="J993" i="7" s="1"/>
  <c r="G993" i="7"/>
  <c r="C993" i="7"/>
  <c r="I992" i="7"/>
  <c r="J992" i="7" s="1"/>
  <c r="G992" i="7"/>
  <c r="C992" i="7"/>
  <c r="I991" i="7"/>
  <c r="J991" i="7" s="1"/>
  <c r="G991" i="7"/>
  <c r="C991" i="7"/>
  <c r="L990" i="7"/>
  <c r="G990" i="7"/>
  <c r="C990" i="7"/>
  <c r="G986" i="7"/>
  <c r="C986" i="7"/>
  <c r="G985" i="7"/>
  <c r="C985" i="7"/>
  <c r="I984" i="7"/>
  <c r="J984" i="7" s="1"/>
  <c r="G984" i="7"/>
  <c r="C984" i="7"/>
  <c r="I983" i="7"/>
  <c r="J983" i="7" s="1"/>
  <c r="G983" i="7"/>
  <c r="C983" i="7"/>
  <c r="I982" i="7"/>
  <c r="J982" i="7" s="1"/>
  <c r="G982" i="7"/>
  <c r="C982" i="7"/>
  <c r="I981" i="7"/>
  <c r="J981" i="7" s="1"/>
  <c r="G981" i="7"/>
  <c r="C981" i="7"/>
  <c r="L980" i="7"/>
  <c r="G980" i="7"/>
  <c r="C980" i="7"/>
  <c r="G976" i="7"/>
  <c r="C976" i="7"/>
  <c r="G975" i="7"/>
  <c r="C975" i="7"/>
  <c r="I974" i="7"/>
  <c r="J974" i="7" s="1"/>
  <c r="G974" i="7"/>
  <c r="C974" i="7"/>
  <c r="I973" i="7"/>
  <c r="J973" i="7" s="1"/>
  <c r="G973" i="7"/>
  <c r="C973" i="7"/>
  <c r="G972" i="7"/>
  <c r="C972" i="7"/>
  <c r="I971" i="7"/>
  <c r="J971" i="7" s="1"/>
  <c r="G971" i="7"/>
  <c r="C971" i="7"/>
  <c r="G970" i="7"/>
  <c r="C970" i="7"/>
  <c r="G966" i="7"/>
  <c r="C966" i="7"/>
  <c r="G965" i="7"/>
  <c r="C965" i="7"/>
  <c r="I964" i="7"/>
  <c r="J964" i="7" s="1"/>
  <c r="G964" i="7"/>
  <c r="C964" i="7"/>
  <c r="L963" i="7"/>
  <c r="G963" i="7"/>
  <c r="C963" i="7"/>
  <c r="G959" i="7"/>
  <c r="C959" i="7"/>
  <c r="G958" i="7"/>
  <c r="C958" i="7"/>
  <c r="I957" i="7"/>
  <c r="J957" i="7" s="1"/>
  <c r="G957" i="7"/>
  <c r="C957" i="7"/>
  <c r="I956" i="7"/>
  <c r="J956" i="7" s="1"/>
  <c r="G956" i="7"/>
  <c r="C956" i="7"/>
  <c r="I955" i="7"/>
  <c r="J955" i="7" s="1"/>
  <c r="G955" i="7"/>
  <c r="C955" i="7"/>
  <c r="I954" i="7"/>
  <c r="J954" i="7" s="1"/>
  <c r="G954" i="7"/>
  <c r="C954" i="7"/>
  <c r="L953" i="7"/>
  <c r="G953" i="7"/>
  <c r="C953" i="7"/>
  <c r="G949" i="7"/>
  <c r="C949" i="7"/>
  <c r="G948" i="7"/>
  <c r="C948" i="7"/>
  <c r="I947" i="7"/>
  <c r="J947" i="7" s="1"/>
  <c r="G947" i="7"/>
  <c r="C947" i="7"/>
  <c r="I946" i="7"/>
  <c r="J946" i="7" s="1"/>
  <c r="G946" i="7"/>
  <c r="C946" i="7"/>
  <c r="G945" i="7"/>
  <c r="C945" i="7"/>
  <c r="I944" i="7"/>
  <c r="J944" i="7" s="1"/>
  <c r="G944" i="7"/>
  <c r="C944" i="7"/>
  <c r="L943" i="7"/>
  <c r="G943" i="7"/>
  <c r="C943" i="7"/>
  <c r="G939" i="7"/>
  <c r="C939" i="7"/>
  <c r="G938" i="7"/>
  <c r="C938" i="7"/>
  <c r="I937" i="7"/>
  <c r="J937" i="7" s="1"/>
  <c r="G937" i="7"/>
  <c r="C937" i="7"/>
  <c r="I936" i="7"/>
  <c r="J936" i="7" s="1"/>
  <c r="G936" i="7"/>
  <c r="C936" i="7"/>
  <c r="I935" i="7"/>
  <c r="J935" i="7" s="1"/>
  <c r="G935" i="7"/>
  <c r="C935" i="7"/>
  <c r="I934" i="7"/>
  <c r="J934" i="7" s="1"/>
  <c r="G934" i="7"/>
  <c r="C934" i="7"/>
  <c r="L933" i="7"/>
  <c r="G933" i="7"/>
  <c r="C933" i="7"/>
  <c r="G929" i="7"/>
  <c r="C929" i="7"/>
  <c r="G928" i="7"/>
  <c r="C928" i="7"/>
  <c r="I927" i="7"/>
  <c r="J927" i="7" s="1"/>
  <c r="G927" i="7"/>
  <c r="C927" i="7"/>
  <c r="I926" i="7"/>
  <c r="J926" i="7" s="1"/>
  <c r="G926" i="7"/>
  <c r="C926" i="7"/>
  <c r="G925" i="7"/>
  <c r="C925" i="7"/>
  <c r="I924" i="7"/>
  <c r="J924" i="7" s="1"/>
  <c r="G924" i="7"/>
  <c r="C924" i="7"/>
  <c r="L923" i="7"/>
  <c r="G923" i="7"/>
  <c r="C923" i="7"/>
  <c r="G919" i="7"/>
  <c r="C919" i="7"/>
  <c r="G918" i="7"/>
  <c r="C918" i="7"/>
  <c r="I917" i="7"/>
  <c r="J917" i="7" s="1"/>
  <c r="G917" i="7"/>
  <c r="C917" i="7"/>
  <c r="I916" i="7"/>
  <c r="J916" i="7" s="1"/>
  <c r="G916" i="7"/>
  <c r="C916" i="7"/>
  <c r="L915" i="7"/>
  <c r="G915" i="7"/>
  <c r="C915" i="7"/>
  <c r="G911" i="7"/>
  <c r="C911" i="7"/>
  <c r="G910" i="7"/>
  <c r="C910" i="7"/>
  <c r="I909" i="7"/>
  <c r="J909" i="7" s="1"/>
  <c r="G909" i="7"/>
  <c r="C909" i="7"/>
  <c r="I908" i="7"/>
  <c r="J908" i="7" s="1"/>
  <c r="G908" i="7"/>
  <c r="C908" i="7"/>
  <c r="I907" i="7"/>
  <c r="J907" i="7" s="1"/>
  <c r="G907" i="7"/>
  <c r="C907" i="7"/>
  <c r="I906" i="7"/>
  <c r="J906" i="7" s="1"/>
  <c r="G906" i="7"/>
  <c r="C906" i="7"/>
  <c r="L905" i="7"/>
  <c r="G905" i="7"/>
  <c r="C905" i="7"/>
  <c r="G901" i="7"/>
  <c r="C901" i="7"/>
  <c r="G900" i="7"/>
  <c r="C900" i="7"/>
  <c r="I899" i="7"/>
  <c r="J899" i="7" s="1"/>
  <c r="G899" i="7"/>
  <c r="C899" i="7"/>
  <c r="I898" i="7"/>
  <c r="J898" i="7" s="1"/>
  <c r="G898" i="7"/>
  <c r="C898" i="7"/>
  <c r="I897" i="7"/>
  <c r="J897" i="7" s="1"/>
  <c r="G897" i="7"/>
  <c r="C897" i="7"/>
  <c r="I896" i="7"/>
  <c r="J896" i="7" s="1"/>
  <c r="G896" i="7"/>
  <c r="C896" i="7"/>
  <c r="G895" i="7"/>
  <c r="C895" i="7"/>
  <c r="G891" i="7"/>
  <c r="C891" i="7"/>
  <c r="G890" i="7"/>
  <c r="C890" i="7"/>
  <c r="I889" i="7"/>
  <c r="J889" i="7" s="1"/>
  <c r="G889" i="7"/>
  <c r="C889" i="7"/>
  <c r="I888" i="7"/>
  <c r="J888" i="7" s="1"/>
  <c r="G888" i="7"/>
  <c r="C888" i="7"/>
  <c r="I887" i="7"/>
  <c r="J887" i="7" s="1"/>
  <c r="G887" i="7"/>
  <c r="C887" i="7"/>
  <c r="I886" i="7"/>
  <c r="J886" i="7" s="1"/>
  <c r="G886" i="7"/>
  <c r="C886" i="7"/>
  <c r="G885" i="7"/>
  <c r="C885" i="7"/>
  <c r="G881" i="7"/>
  <c r="C881" i="7"/>
  <c r="G880" i="7"/>
  <c r="C880" i="7"/>
  <c r="I879" i="7"/>
  <c r="J879" i="7" s="1"/>
  <c r="G879" i="7"/>
  <c r="C879" i="7"/>
  <c r="I878" i="7"/>
  <c r="J878" i="7" s="1"/>
  <c r="G878" i="7"/>
  <c r="C878" i="7"/>
  <c r="I877" i="7"/>
  <c r="J877" i="7" s="1"/>
  <c r="G877" i="7"/>
  <c r="C877" i="7"/>
  <c r="I876" i="7"/>
  <c r="J876" i="7" s="1"/>
  <c r="G876" i="7"/>
  <c r="C876" i="7"/>
  <c r="L875" i="7"/>
  <c r="G875" i="7"/>
  <c r="C875" i="7"/>
  <c r="G871" i="7"/>
  <c r="C871" i="7"/>
  <c r="G870" i="7"/>
  <c r="C870" i="7"/>
  <c r="G869" i="7"/>
  <c r="C869" i="7"/>
  <c r="G868" i="7"/>
  <c r="C868" i="7"/>
  <c r="G864" i="7"/>
  <c r="C864" i="7"/>
  <c r="G863" i="7"/>
  <c r="C863" i="7"/>
  <c r="L862" i="7"/>
  <c r="G862" i="7"/>
  <c r="C862" i="7"/>
  <c r="G858" i="7"/>
  <c r="C858" i="7"/>
  <c r="G857" i="7"/>
  <c r="C857" i="7"/>
  <c r="I856" i="7"/>
  <c r="J856" i="7" s="1"/>
  <c r="G856" i="7"/>
  <c r="C856" i="7"/>
  <c r="I855" i="7"/>
  <c r="J855" i="7" s="1"/>
  <c r="G855" i="7"/>
  <c r="C855" i="7"/>
  <c r="G854" i="7"/>
  <c r="C854" i="7"/>
  <c r="I853" i="7"/>
  <c r="G853" i="7"/>
  <c r="C853" i="7"/>
  <c r="L852" i="7"/>
  <c r="G852" i="7"/>
  <c r="C852" i="7"/>
  <c r="G848" i="7"/>
  <c r="C848" i="7"/>
  <c r="G847" i="7"/>
  <c r="C847" i="7"/>
  <c r="I846" i="7"/>
  <c r="J846" i="7" s="1"/>
  <c r="G846" i="7"/>
  <c r="C846" i="7"/>
  <c r="I845" i="7"/>
  <c r="J845" i="7" s="1"/>
  <c r="G845" i="7"/>
  <c r="C845" i="7"/>
  <c r="I844" i="7"/>
  <c r="J844" i="7" s="1"/>
  <c r="G844" i="7"/>
  <c r="C844" i="7"/>
  <c r="I843" i="7"/>
  <c r="J843" i="7" s="1"/>
  <c r="G843" i="7"/>
  <c r="C843" i="7"/>
  <c r="L842" i="7"/>
  <c r="G842" i="7"/>
  <c r="C842" i="7"/>
  <c r="G838" i="7"/>
  <c r="C838" i="7"/>
  <c r="G837" i="7"/>
  <c r="C837" i="7"/>
  <c r="I836" i="7"/>
  <c r="J836" i="7" s="1"/>
  <c r="G836" i="7"/>
  <c r="C836" i="7"/>
  <c r="I835" i="7"/>
  <c r="J835" i="7" s="1"/>
  <c r="G835" i="7"/>
  <c r="C835" i="7"/>
  <c r="G834" i="7"/>
  <c r="C834" i="7"/>
  <c r="I833" i="7"/>
  <c r="J833" i="7" s="1"/>
  <c r="G833" i="7"/>
  <c r="C833" i="7"/>
  <c r="G832" i="7"/>
  <c r="C832" i="7"/>
  <c r="G828" i="7"/>
  <c r="C828" i="7"/>
  <c r="G827" i="7"/>
  <c r="C827" i="7"/>
  <c r="I826" i="7"/>
  <c r="J826" i="7" s="1"/>
  <c r="G826" i="7"/>
  <c r="C826" i="7"/>
  <c r="I825" i="7"/>
  <c r="J825" i="7" s="1"/>
  <c r="G825" i="7"/>
  <c r="C825" i="7"/>
  <c r="L824" i="7"/>
  <c r="G824" i="7"/>
  <c r="C824" i="7"/>
  <c r="G820" i="7"/>
  <c r="C820" i="7"/>
  <c r="I819" i="7"/>
  <c r="J819" i="7" s="1"/>
  <c r="G819" i="7"/>
  <c r="C819" i="7"/>
  <c r="G818" i="7"/>
  <c r="C818" i="7"/>
  <c r="G817" i="7"/>
  <c r="C817" i="7"/>
  <c r="I816" i="7"/>
  <c r="J816" i="7" s="1"/>
  <c r="G816" i="7"/>
  <c r="C816" i="7"/>
  <c r="I815" i="7"/>
  <c r="J815" i="7" s="1"/>
  <c r="G815" i="7"/>
  <c r="C815" i="7"/>
  <c r="I814" i="7"/>
  <c r="J814" i="7" s="1"/>
  <c r="G814" i="7"/>
  <c r="C814" i="7"/>
  <c r="I813" i="7"/>
  <c r="J813" i="7" s="1"/>
  <c r="G813" i="7"/>
  <c r="C813" i="7"/>
  <c r="I812" i="7"/>
  <c r="J812" i="7" s="1"/>
  <c r="G812" i="7"/>
  <c r="C812" i="7"/>
  <c r="I811" i="7"/>
  <c r="J811" i="7" s="1"/>
  <c r="G811" i="7"/>
  <c r="C811" i="7"/>
  <c r="G810" i="7"/>
  <c r="C810" i="7"/>
  <c r="G809" i="7"/>
  <c r="C809" i="7"/>
  <c r="G808" i="7"/>
  <c r="C808" i="7"/>
  <c r="G807" i="7"/>
  <c r="C807" i="7"/>
  <c r="G806" i="7"/>
  <c r="C806" i="7"/>
  <c r="I805" i="7"/>
  <c r="J805" i="7" s="1"/>
  <c r="G805" i="7"/>
  <c r="C805" i="7"/>
  <c r="I804" i="7"/>
  <c r="J804" i="7" s="1"/>
  <c r="G804" i="7"/>
  <c r="C804" i="7"/>
  <c r="G803" i="7"/>
  <c r="C803" i="7"/>
  <c r="I802" i="7"/>
  <c r="J802" i="7" s="1"/>
  <c r="G802" i="7"/>
  <c r="C802" i="7"/>
  <c r="G801" i="7"/>
  <c r="C801" i="7"/>
  <c r="L800" i="7"/>
  <c r="G800" i="7"/>
  <c r="C800" i="7"/>
  <c r="G796" i="7"/>
  <c r="C796" i="7"/>
  <c r="G795" i="7"/>
  <c r="C795" i="7"/>
  <c r="I794" i="7"/>
  <c r="J794" i="7" s="1"/>
  <c r="G794" i="7"/>
  <c r="C794" i="7"/>
  <c r="I793" i="7"/>
  <c r="J793" i="7" s="1"/>
  <c r="G793" i="7"/>
  <c r="C793" i="7"/>
  <c r="I792" i="7"/>
  <c r="J792" i="7" s="1"/>
  <c r="G792" i="7"/>
  <c r="C792" i="7"/>
  <c r="I791" i="7"/>
  <c r="J791" i="7" s="1"/>
  <c r="G791" i="7"/>
  <c r="C791" i="7"/>
  <c r="I790" i="7"/>
  <c r="J790" i="7" s="1"/>
  <c r="G790" i="7"/>
  <c r="C790" i="7"/>
  <c r="I789" i="7"/>
  <c r="J789" i="7" s="1"/>
  <c r="G789" i="7"/>
  <c r="C789" i="7"/>
  <c r="L788" i="7"/>
  <c r="G788" i="7"/>
  <c r="C788" i="7"/>
  <c r="G784" i="7"/>
  <c r="C784" i="7"/>
  <c r="I783" i="7"/>
  <c r="J783" i="7" s="1"/>
  <c r="G783" i="7"/>
  <c r="C783" i="7"/>
  <c r="I782" i="7"/>
  <c r="J782" i="7" s="1"/>
  <c r="G782" i="7"/>
  <c r="C782" i="7"/>
  <c r="G781" i="7"/>
  <c r="C781" i="7"/>
  <c r="G780" i="7"/>
  <c r="C780" i="7"/>
  <c r="G776" i="7"/>
  <c r="C776" i="7"/>
  <c r="G775" i="7"/>
  <c r="C775" i="7"/>
  <c r="G774" i="7"/>
  <c r="C774" i="7"/>
  <c r="G773" i="7"/>
  <c r="C773" i="7"/>
  <c r="I772" i="7"/>
  <c r="J772" i="7" s="1"/>
  <c r="G772" i="7"/>
  <c r="C772" i="7"/>
  <c r="I771" i="7"/>
  <c r="J771" i="7" s="1"/>
  <c r="G771" i="7"/>
  <c r="C771" i="7"/>
  <c r="G770" i="7"/>
  <c r="C770" i="7"/>
  <c r="L769" i="7"/>
  <c r="G769" i="7"/>
  <c r="C769" i="7"/>
  <c r="G765" i="7"/>
  <c r="C765" i="7"/>
  <c r="I764" i="7"/>
  <c r="J764" i="7" s="1"/>
  <c r="G764" i="7"/>
  <c r="C764" i="7"/>
  <c r="G763" i="7"/>
  <c r="C763" i="7"/>
  <c r="G762" i="7"/>
  <c r="C762" i="7"/>
  <c r="I761" i="7"/>
  <c r="J761" i="7" s="1"/>
  <c r="G761" i="7"/>
  <c r="C761" i="7"/>
  <c r="G760" i="7"/>
  <c r="C760" i="7"/>
  <c r="I759" i="7"/>
  <c r="J759" i="7" s="1"/>
  <c r="G759" i="7"/>
  <c r="C759" i="7"/>
  <c r="I758" i="7"/>
  <c r="J758" i="7" s="1"/>
  <c r="G758" i="7"/>
  <c r="C758" i="7"/>
  <c r="G757" i="7"/>
  <c r="C757" i="7"/>
  <c r="I756" i="7"/>
  <c r="J756" i="7" s="1"/>
  <c r="G756" i="7"/>
  <c r="C756" i="7"/>
  <c r="G755" i="7"/>
  <c r="C755" i="7"/>
  <c r="I754" i="7"/>
  <c r="J754" i="7" s="1"/>
  <c r="G754" i="7"/>
  <c r="C754" i="7"/>
  <c r="I753" i="7"/>
  <c r="J753" i="7" s="1"/>
  <c r="G753" i="7"/>
  <c r="C753" i="7"/>
  <c r="I752" i="7"/>
  <c r="J752" i="7" s="1"/>
  <c r="G752" i="7"/>
  <c r="C752" i="7"/>
  <c r="I751" i="7"/>
  <c r="J751" i="7" s="1"/>
  <c r="G751" i="7"/>
  <c r="C751" i="7"/>
  <c r="G750" i="7"/>
  <c r="C750" i="7"/>
  <c r="G749" i="7"/>
  <c r="C749" i="7"/>
  <c r="G748" i="7"/>
  <c r="C748" i="7"/>
  <c r="I747" i="7"/>
  <c r="J747" i="7" s="1"/>
  <c r="G747" i="7"/>
  <c r="C747" i="7"/>
  <c r="I746" i="7"/>
  <c r="J746" i="7" s="1"/>
  <c r="G746" i="7"/>
  <c r="C746" i="7"/>
  <c r="I745" i="7"/>
  <c r="J745" i="7" s="1"/>
  <c r="G745" i="7"/>
  <c r="C745" i="7"/>
  <c r="I744" i="7"/>
  <c r="J744" i="7" s="1"/>
  <c r="G744" i="7"/>
  <c r="C744" i="7"/>
  <c r="G743" i="7"/>
  <c r="C743" i="7"/>
  <c r="I742" i="7"/>
  <c r="J742" i="7" s="1"/>
  <c r="G742" i="7"/>
  <c r="C742" i="7"/>
  <c r="G741" i="7"/>
  <c r="C741" i="7"/>
  <c r="L740" i="7"/>
  <c r="G740" i="7"/>
  <c r="C740" i="7"/>
  <c r="G736" i="7"/>
  <c r="C736" i="7"/>
  <c r="I735" i="7"/>
  <c r="J735" i="7" s="1"/>
  <c r="G735" i="7"/>
  <c r="C735" i="7"/>
  <c r="I734" i="7"/>
  <c r="J734" i="7" s="1"/>
  <c r="G734" i="7"/>
  <c r="C734" i="7"/>
  <c r="I733" i="7"/>
  <c r="J733" i="7" s="1"/>
  <c r="G733" i="7"/>
  <c r="C733" i="7"/>
  <c r="I732" i="7"/>
  <c r="J732" i="7" s="1"/>
  <c r="G732" i="7"/>
  <c r="C732" i="7"/>
  <c r="I731" i="7"/>
  <c r="J731" i="7" s="1"/>
  <c r="G731" i="7"/>
  <c r="C731" i="7"/>
  <c r="I730" i="7"/>
  <c r="J730" i="7" s="1"/>
  <c r="G730" i="7"/>
  <c r="C730" i="7"/>
  <c r="G729" i="7"/>
  <c r="C729" i="7"/>
  <c r="G728" i="7"/>
  <c r="C728" i="7"/>
  <c r="G724" i="7"/>
  <c r="C724" i="7"/>
  <c r="G723" i="7"/>
  <c r="C723" i="7"/>
  <c r="I722" i="7"/>
  <c r="J722" i="7" s="1"/>
  <c r="G722" i="7"/>
  <c r="C722" i="7"/>
  <c r="I721" i="7"/>
  <c r="J721" i="7" s="1"/>
  <c r="G721" i="7"/>
  <c r="C721" i="7"/>
  <c r="I720" i="7"/>
  <c r="J720" i="7" s="1"/>
  <c r="G720" i="7"/>
  <c r="C720" i="7"/>
  <c r="I719" i="7"/>
  <c r="J719" i="7" s="1"/>
  <c r="G719" i="7"/>
  <c r="C719" i="7"/>
  <c r="I718" i="7"/>
  <c r="J718" i="7" s="1"/>
  <c r="G718" i="7"/>
  <c r="C718" i="7"/>
  <c r="I717" i="7"/>
  <c r="J717" i="7" s="1"/>
  <c r="G717" i="7"/>
  <c r="C717" i="7"/>
  <c r="L716" i="7"/>
  <c r="G716" i="7"/>
  <c r="C716" i="7"/>
  <c r="G712" i="7"/>
  <c r="C712" i="7"/>
  <c r="G711" i="7"/>
  <c r="C711" i="7"/>
  <c r="G710" i="7"/>
  <c r="C710" i="7"/>
  <c r="I709" i="7"/>
  <c r="J709" i="7" s="1"/>
  <c r="G709" i="7"/>
  <c r="C709" i="7"/>
  <c r="I708" i="7"/>
  <c r="J708" i="7" s="1"/>
  <c r="G708" i="7"/>
  <c r="C708" i="7"/>
  <c r="L707" i="7"/>
  <c r="G707" i="7"/>
  <c r="C707" i="7"/>
  <c r="G703" i="7"/>
  <c r="C703" i="7"/>
  <c r="G702" i="7"/>
  <c r="C702" i="7"/>
  <c r="G701" i="7"/>
  <c r="C701" i="7"/>
  <c r="I700" i="7"/>
  <c r="J700" i="7" s="1"/>
  <c r="G700" i="7"/>
  <c r="C700" i="7"/>
  <c r="I699" i="7"/>
  <c r="J699" i="7" s="1"/>
  <c r="G699" i="7"/>
  <c r="C699" i="7"/>
  <c r="G698" i="7"/>
  <c r="C698" i="7"/>
  <c r="G694" i="7"/>
  <c r="C694" i="7"/>
  <c r="G693" i="7"/>
  <c r="C693" i="7"/>
  <c r="G692" i="7"/>
  <c r="C692" i="7"/>
  <c r="I691" i="7"/>
  <c r="J691" i="7" s="1"/>
  <c r="G691" i="7"/>
  <c r="C691" i="7"/>
  <c r="I690" i="7"/>
  <c r="J690" i="7" s="1"/>
  <c r="G690" i="7"/>
  <c r="C690" i="7"/>
  <c r="G689" i="7"/>
  <c r="C689" i="7"/>
  <c r="G685" i="7"/>
  <c r="C685" i="7"/>
  <c r="I684" i="7"/>
  <c r="J684" i="7" s="1"/>
  <c r="G684" i="7"/>
  <c r="C684" i="7"/>
  <c r="I683" i="7"/>
  <c r="J683" i="7" s="1"/>
  <c r="G683" i="7"/>
  <c r="C683" i="7"/>
  <c r="I682" i="7"/>
  <c r="J682" i="7" s="1"/>
  <c r="G682" i="7"/>
  <c r="C682" i="7"/>
  <c r="I681" i="7"/>
  <c r="J681" i="7" s="1"/>
  <c r="G681" i="7"/>
  <c r="C681" i="7"/>
  <c r="I680" i="7"/>
  <c r="J680" i="7" s="1"/>
  <c r="G680" i="7"/>
  <c r="C680" i="7"/>
  <c r="I679" i="7"/>
  <c r="J679" i="7" s="1"/>
  <c r="G679" i="7"/>
  <c r="C679" i="7"/>
  <c r="I678" i="7"/>
  <c r="J678" i="7" s="1"/>
  <c r="G678" i="7"/>
  <c r="C678" i="7"/>
  <c r="L677" i="7"/>
  <c r="G677" i="7"/>
  <c r="C677" i="7"/>
  <c r="G673" i="7"/>
  <c r="C673" i="7"/>
  <c r="I672" i="7"/>
  <c r="J672" i="7" s="1"/>
  <c r="G672" i="7"/>
  <c r="C672" i="7"/>
  <c r="I671" i="7"/>
  <c r="J671" i="7" s="1"/>
  <c r="G671" i="7"/>
  <c r="C671" i="7"/>
  <c r="G670" i="7"/>
  <c r="C670" i="7"/>
  <c r="L669" i="7"/>
  <c r="G669" i="7"/>
  <c r="C669" i="7"/>
  <c r="G665" i="7"/>
  <c r="C665" i="7"/>
  <c r="G664" i="7"/>
  <c r="C664" i="7"/>
  <c r="G663" i="7"/>
  <c r="C663" i="7"/>
  <c r="I662" i="7"/>
  <c r="J662" i="7" s="1"/>
  <c r="G662" i="7"/>
  <c r="C662" i="7"/>
  <c r="I661" i="7"/>
  <c r="J661" i="7" s="1"/>
  <c r="G661" i="7"/>
  <c r="C661" i="7"/>
  <c r="L660" i="7"/>
  <c r="G660" i="7"/>
  <c r="C660" i="7"/>
  <c r="G656" i="7"/>
  <c r="C656" i="7"/>
  <c r="I655" i="7"/>
  <c r="J655" i="7" s="1"/>
  <c r="G655" i="7"/>
  <c r="C655" i="7"/>
  <c r="I654" i="7"/>
  <c r="J654" i="7" s="1"/>
  <c r="G654" i="7"/>
  <c r="C654" i="7"/>
  <c r="I653" i="7"/>
  <c r="J653" i="7" s="1"/>
  <c r="G653" i="7"/>
  <c r="C653" i="7"/>
  <c r="I652" i="7"/>
  <c r="J652" i="7" s="1"/>
  <c r="G652" i="7"/>
  <c r="C652" i="7"/>
  <c r="I651" i="7"/>
  <c r="J651" i="7" s="1"/>
  <c r="G651" i="7"/>
  <c r="C651" i="7"/>
  <c r="I650" i="7"/>
  <c r="J650" i="7" s="1"/>
  <c r="G650" i="7"/>
  <c r="C650" i="7"/>
  <c r="I649" i="7"/>
  <c r="J649" i="7" s="1"/>
  <c r="G649" i="7"/>
  <c r="C649" i="7"/>
  <c r="L648" i="7"/>
  <c r="G648" i="7"/>
  <c r="C648" i="7"/>
  <c r="G644" i="7"/>
  <c r="C644" i="7"/>
  <c r="G643" i="7"/>
  <c r="C643" i="7"/>
  <c r="G642" i="7"/>
  <c r="C642" i="7"/>
  <c r="L641" i="7"/>
  <c r="G641" i="7"/>
  <c r="C641" i="7"/>
  <c r="G637" i="7"/>
  <c r="C637" i="7"/>
  <c r="G636" i="7"/>
  <c r="C636" i="7"/>
  <c r="G635" i="7"/>
  <c r="C635" i="7"/>
  <c r="G634" i="7"/>
  <c r="C634" i="7"/>
  <c r="G633" i="7"/>
  <c r="C633" i="7"/>
  <c r="L632" i="7"/>
  <c r="G632" i="7"/>
  <c r="C632" i="7"/>
  <c r="G628" i="7"/>
  <c r="C628" i="7"/>
  <c r="G627" i="7"/>
  <c r="C627" i="7"/>
  <c r="G626" i="7"/>
  <c r="C626" i="7"/>
  <c r="G625" i="7"/>
  <c r="C625" i="7"/>
  <c r="G624" i="7"/>
  <c r="C624" i="7"/>
  <c r="I623" i="7"/>
  <c r="J623" i="7" s="1"/>
  <c r="G623" i="7"/>
  <c r="C623" i="7"/>
  <c r="I622" i="7"/>
  <c r="J622" i="7" s="1"/>
  <c r="G622" i="7"/>
  <c r="C622" i="7"/>
  <c r="G621" i="7"/>
  <c r="C621" i="7"/>
  <c r="G617" i="7"/>
  <c r="C617" i="7"/>
  <c r="I616" i="7"/>
  <c r="J616" i="7" s="1"/>
  <c r="G616" i="7"/>
  <c r="C616" i="7"/>
  <c r="I615" i="7"/>
  <c r="J615" i="7" s="1"/>
  <c r="G615" i="7"/>
  <c r="C615" i="7"/>
  <c r="I614" i="7"/>
  <c r="J614" i="7" s="1"/>
  <c r="G614" i="7"/>
  <c r="C614" i="7"/>
  <c r="I613" i="7"/>
  <c r="J613" i="7" s="1"/>
  <c r="G613" i="7"/>
  <c r="C613" i="7"/>
  <c r="I612" i="7"/>
  <c r="J612" i="7" s="1"/>
  <c r="G612" i="7"/>
  <c r="C612" i="7"/>
  <c r="I611" i="7"/>
  <c r="J611" i="7" s="1"/>
  <c r="G611" i="7"/>
  <c r="C611" i="7"/>
  <c r="I610" i="7"/>
  <c r="J610" i="7" s="1"/>
  <c r="G610" i="7"/>
  <c r="C610" i="7"/>
  <c r="L609" i="7"/>
  <c r="G609" i="7"/>
  <c r="C609" i="7"/>
  <c r="G605" i="7"/>
  <c r="C605" i="7"/>
  <c r="I604" i="7"/>
  <c r="J604" i="7" s="1"/>
  <c r="G604" i="7"/>
  <c r="C604" i="7"/>
  <c r="I603" i="7"/>
  <c r="J603" i="7" s="1"/>
  <c r="G603" i="7"/>
  <c r="C603" i="7"/>
  <c r="I602" i="7"/>
  <c r="J602" i="7" s="1"/>
  <c r="G602" i="7"/>
  <c r="C602" i="7"/>
  <c r="I601" i="7"/>
  <c r="J601" i="7" s="1"/>
  <c r="G601" i="7"/>
  <c r="C601" i="7"/>
  <c r="I600" i="7"/>
  <c r="J600" i="7" s="1"/>
  <c r="G600" i="7"/>
  <c r="C600" i="7"/>
  <c r="I599" i="7"/>
  <c r="J599" i="7" s="1"/>
  <c r="G599" i="7"/>
  <c r="C599" i="7"/>
  <c r="I598" i="7"/>
  <c r="J598" i="7" s="1"/>
  <c r="G598" i="7"/>
  <c r="C598" i="7"/>
  <c r="L597" i="7"/>
  <c r="G597" i="7"/>
  <c r="C597" i="7"/>
  <c r="G593" i="7"/>
  <c r="C593" i="7"/>
  <c r="I592" i="7"/>
  <c r="J592" i="7" s="1"/>
  <c r="G592" i="7"/>
  <c r="C592" i="7"/>
  <c r="G591" i="7"/>
  <c r="C591" i="7"/>
  <c r="I590" i="7"/>
  <c r="J590" i="7" s="1"/>
  <c r="G590" i="7"/>
  <c r="C590" i="7"/>
  <c r="I589" i="7"/>
  <c r="J589" i="7" s="1"/>
  <c r="G589" i="7"/>
  <c r="C589" i="7"/>
  <c r="I588" i="7"/>
  <c r="J588" i="7" s="1"/>
  <c r="G588" i="7"/>
  <c r="C588" i="7"/>
  <c r="I587" i="7"/>
  <c r="J587" i="7" s="1"/>
  <c r="G587" i="7"/>
  <c r="C587" i="7"/>
  <c r="I586" i="7"/>
  <c r="J586" i="7" s="1"/>
  <c r="G586" i="7"/>
  <c r="C586" i="7"/>
  <c r="L585" i="7"/>
  <c r="G585" i="7"/>
  <c r="C585" i="7"/>
  <c r="G581" i="7"/>
  <c r="C581" i="7"/>
  <c r="G580" i="7"/>
  <c r="C580" i="7"/>
  <c r="G579" i="7"/>
  <c r="C579" i="7"/>
  <c r="I578" i="7"/>
  <c r="J578" i="7" s="1"/>
  <c r="G578" i="7"/>
  <c r="C578" i="7"/>
  <c r="I577" i="7"/>
  <c r="J577" i="7" s="1"/>
  <c r="G577" i="7"/>
  <c r="C577" i="7"/>
  <c r="I576" i="7"/>
  <c r="J576" i="7" s="1"/>
  <c r="G576" i="7"/>
  <c r="C576" i="7"/>
  <c r="L575" i="7"/>
  <c r="G575" i="7"/>
  <c r="C575" i="7"/>
  <c r="G571" i="7"/>
  <c r="C571" i="7"/>
  <c r="G570" i="7"/>
  <c r="C570" i="7"/>
  <c r="G569" i="7"/>
  <c r="C569" i="7"/>
  <c r="I568" i="7"/>
  <c r="J568" i="7" s="1"/>
  <c r="G568" i="7"/>
  <c r="C568" i="7"/>
  <c r="G567" i="7"/>
  <c r="C567" i="7"/>
  <c r="L566" i="7"/>
  <c r="G566" i="7"/>
  <c r="C566" i="7"/>
  <c r="G562" i="7"/>
  <c r="C562" i="7"/>
  <c r="G561" i="7"/>
  <c r="C561" i="7"/>
  <c r="G560" i="7"/>
  <c r="C560" i="7"/>
  <c r="I559" i="7"/>
  <c r="J559" i="7" s="1"/>
  <c r="G559" i="7"/>
  <c r="C559" i="7"/>
  <c r="G558" i="7"/>
  <c r="C558" i="7"/>
  <c r="L557" i="7"/>
  <c r="G557" i="7"/>
  <c r="C557" i="7"/>
  <c r="G553" i="7"/>
  <c r="C553" i="7"/>
  <c r="G552" i="7"/>
  <c r="C552" i="7"/>
  <c r="G551" i="7"/>
  <c r="C551" i="7"/>
  <c r="I550" i="7"/>
  <c r="J550" i="7" s="1"/>
  <c r="G550" i="7"/>
  <c r="C550" i="7"/>
  <c r="G549" i="7"/>
  <c r="C549" i="7"/>
  <c r="G548" i="7"/>
  <c r="C548" i="7"/>
  <c r="G544" i="7"/>
  <c r="C544" i="7"/>
  <c r="G543" i="7"/>
  <c r="C543" i="7"/>
  <c r="G542" i="7"/>
  <c r="C542" i="7"/>
  <c r="G541" i="7"/>
  <c r="C541" i="7"/>
  <c r="I540" i="7"/>
  <c r="J540" i="7" s="1"/>
  <c r="G540" i="7"/>
  <c r="C540" i="7"/>
  <c r="I539" i="7"/>
  <c r="J539" i="7" s="1"/>
  <c r="G539" i="7"/>
  <c r="C539" i="7"/>
  <c r="G538" i="7"/>
  <c r="C538" i="7"/>
  <c r="I537" i="7"/>
  <c r="J537" i="7" s="1"/>
  <c r="G537" i="7"/>
  <c r="C537" i="7"/>
  <c r="I536" i="7"/>
  <c r="J536" i="7" s="1"/>
  <c r="G536" i="7"/>
  <c r="C536" i="7"/>
  <c r="I535" i="7"/>
  <c r="J535" i="7" s="1"/>
  <c r="G535" i="7"/>
  <c r="C535" i="7"/>
  <c r="L534" i="7"/>
  <c r="G534" i="7"/>
  <c r="C534" i="7"/>
  <c r="G530" i="7"/>
  <c r="C530" i="7"/>
  <c r="G529" i="7"/>
  <c r="C529" i="7"/>
  <c r="G528" i="7"/>
  <c r="C528" i="7"/>
  <c r="I527" i="7"/>
  <c r="J527" i="7" s="1"/>
  <c r="G527" i="7"/>
  <c r="C527" i="7"/>
  <c r="G526" i="7"/>
  <c r="C526" i="7"/>
  <c r="G525" i="7"/>
  <c r="C525" i="7"/>
  <c r="G521" i="7"/>
  <c r="C521" i="7"/>
  <c r="G520" i="7"/>
  <c r="C520" i="7"/>
  <c r="G519" i="7"/>
  <c r="C519" i="7"/>
  <c r="I518" i="7"/>
  <c r="J518" i="7" s="1"/>
  <c r="G518" i="7"/>
  <c r="C518" i="7"/>
  <c r="G517" i="7"/>
  <c r="C517" i="7"/>
  <c r="L516" i="7"/>
  <c r="G516" i="7"/>
  <c r="C516" i="7"/>
  <c r="G512" i="7"/>
  <c r="C512" i="7"/>
  <c r="G511" i="7"/>
  <c r="C511" i="7"/>
  <c r="G510" i="7"/>
  <c r="C510" i="7"/>
  <c r="G509" i="7"/>
  <c r="C509" i="7"/>
  <c r="G508" i="7"/>
  <c r="C508" i="7"/>
  <c r="G507" i="7"/>
  <c r="C507" i="7"/>
  <c r="G503" i="7"/>
  <c r="C503" i="7"/>
  <c r="G502" i="7"/>
  <c r="C502" i="7"/>
  <c r="G501" i="7"/>
  <c r="C501" i="7"/>
  <c r="I500" i="7"/>
  <c r="J500" i="7" s="1"/>
  <c r="G500" i="7"/>
  <c r="C500" i="7"/>
  <c r="G499" i="7"/>
  <c r="C499" i="7"/>
  <c r="G498" i="7"/>
  <c r="C498" i="7"/>
  <c r="G494" i="7"/>
  <c r="C494" i="7"/>
  <c r="G493" i="7"/>
  <c r="C493" i="7"/>
  <c r="G492" i="7"/>
  <c r="C492" i="7"/>
  <c r="I491" i="7"/>
  <c r="J491" i="7" s="1"/>
  <c r="G491" i="7"/>
  <c r="C491" i="7"/>
  <c r="G490" i="7"/>
  <c r="C490" i="7"/>
  <c r="L489" i="7"/>
  <c r="G489" i="7"/>
  <c r="C489" i="7"/>
  <c r="G485" i="7"/>
  <c r="C485" i="7"/>
  <c r="G484" i="7"/>
  <c r="C484" i="7"/>
  <c r="G483" i="7"/>
  <c r="C483" i="7"/>
  <c r="I482" i="7"/>
  <c r="J482" i="7" s="1"/>
  <c r="G482" i="7"/>
  <c r="C482" i="7"/>
  <c r="G481" i="7"/>
  <c r="C481" i="7"/>
  <c r="L480" i="7"/>
  <c r="G480" i="7"/>
  <c r="C480" i="7"/>
  <c r="G476" i="7"/>
  <c r="C476" i="7"/>
  <c r="G475" i="7"/>
  <c r="C475" i="7"/>
  <c r="G474" i="7"/>
  <c r="C474" i="7"/>
  <c r="I473" i="7"/>
  <c r="J473" i="7" s="1"/>
  <c r="G473" i="7"/>
  <c r="C473" i="7"/>
  <c r="G472" i="7"/>
  <c r="C472" i="7"/>
  <c r="G468" i="7"/>
  <c r="C468" i="7"/>
  <c r="G467" i="7"/>
  <c r="C467" i="7"/>
  <c r="G466" i="7"/>
  <c r="C466" i="7"/>
  <c r="I465" i="7"/>
  <c r="J465" i="7" s="1"/>
  <c r="G465" i="7"/>
  <c r="C465" i="7"/>
  <c r="G464" i="7"/>
  <c r="C464" i="7"/>
  <c r="L463" i="7"/>
  <c r="G463" i="7"/>
  <c r="C463" i="7"/>
  <c r="G459" i="7"/>
  <c r="C459" i="7"/>
  <c r="G458" i="7"/>
  <c r="C458" i="7"/>
  <c r="G457" i="7"/>
  <c r="C457" i="7"/>
  <c r="I456" i="7"/>
  <c r="J456" i="7" s="1"/>
  <c r="G456" i="7"/>
  <c r="C456" i="7"/>
  <c r="G455" i="7"/>
  <c r="C455" i="7"/>
  <c r="G454" i="7"/>
  <c r="C454" i="7"/>
  <c r="G450" i="7"/>
  <c r="C450" i="7"/>
  <c r="G449" i="7"/>
  <c r="C449" i="7"/>
  <c r="G448" i="7"/>
  <c r="C448" i="7"/>
  <c r="I447" i="7"/>
  <c r="J447" i="7" s="1"/>
  <c r="G447" i="7"/>
  <c r="C447" i="7"/>
  <c r="G446" i="7"/>
  <c r="C446" i="7"/>
  <c r="L445" i="7"/>
  <c r="G445" i="7"/>
  <c r="C445" i="7"/>
  <c r="G441" i="7"/>
  <c r="C441" i="7"/>
  <c r="G440" i="7"/>
  <c r="C440" i="7"/>
  <c r="G439" i="7"/>
  <c r="C439" i="7"/>
  <c r="I438" i="7"/>
  <c r="J438" i="7" s="1"/>
  <c r="G438" i="7"/>
  <c r="C438" i="7"/>
  <c r="G437" i="7"/>
  <c r="C437" i="7"/>
  <c r="L436" i="7"/>
  <c r="G436" i="7"/>
  <c r="C436" i="7"/>
  <c r="G432" i="7"/>
  <c r="C432" i="7"/>
  <c r="G431" i="7"/>
  <c r="C431" i="7"/>
  <c r="G430" i="7"/>
  <c r="C430" i="7"/>
  <c r="I429" i="7"/>
  <c r="J429" i="7" s="1"/>
  <c r="G429" i="7"/>
  <c r="C429" i="7"/>
  <c r="G428" i="7"/>
  <c r="C428" i="7"/>
  <c r="L427" i="7"/>
  <c r="G427" i="7"/>
  <c r="C427" i="7"/>
  <c r="G423" i="7"/>
  <c r="C423" i="7"/>
  <c r="G422" i="7"/>
  <c r="C422" i="7"/>
  <c r="G421" i="7"/>
  <c r="C421" i="7"/>
  <c r="I420" i="7"/>
  <c r="J420" i="7" s="1"/>
  <c r="G420" i="7"/>
  <c r="C420" i="7"/>
  <c r="G419" i="7"/>
  <c r="C419" i="7"/>
  <c r="L418" i="7"/>
  <c r="G418" i="7"/>
  <c r="C418" i="7"/>
  <c r="G414" i="7"/>
  <c r="C414" i="7"/>
  <c r="G413" i="7"/>
  <c r="C413" i="7"/>
  <c r="G412" i="7"/>
  <c r="C412" i="7"/>
  <c r="I411" i="7"/>
  <c r="J411" i="7" s="1"/>
  <c r="G411" i="7"/>
  <c r="C411" i="7"/>
  <c r="G410" i="7"/>
  <c r="C410" i="7"/>
  <c r="L409" i="7"/>
  <c r="G409" i="7"/>
  <c r="C409" i="7"/>
  <c r="G405" i="7"/>
  <c r="C405" i="7"/>
  <c r="G404" i="7"/>
  <c r="C404" i="7"/>
  <c r="G403" i="7"/>
  <c r="C403" i="7"/>
  <c r="I402" i="7"/>
  <c r="J402" i="7" s="1"/>
  <c r="G402" i="7"/>
  <c r="C402" i="7"/>
  <c r="I401" i="7"/>
  <c r="J401" i="7" s="1"/>
  <c r="G401" i="7"/>
  <c r="C401" i="7"/>
  <c r="I400" i="7"/>
  <c r="J400" i="7" s="1"/>
  <c r="G400" i="7"/>
  <c r="C400" i="7"/>
  <c r="G399" i="7"/>
  <c r="C399" i="7"/>
  <c r="G395" i="7"/>
  <c r="C395" i="7"/>
  <c r="G394" i="7"/>
  <c r="C394" i="7"/>
  <c r="G393" i="7"/>
  <c r="C393" i="7"/>
  <c r="I392" i="7"/>
  <c r="J392" i="7" s="1"/>
  <c r="G392" i="7"/>
  <c r="C392" i="7"/>
  <c r="I391" i="7"/>
  <c r="J391" i="7" s="1"/>
  <c r="G391" i="7"/>
  <c r="C391" i="7"/>
  <c r="I390" i="7"/>
  <c r="J390" i="7" s="1"/>
  <c r="G390" i="7"/>
  <c r="C390" i="7"/>
  <c r="L389" i="7"/>
  <c r="G389" i="7"/>
  <c r="C389" i="7"/>
  <c r="G385" i="7"/>
  <c r="C385" i="7"/>
  <c r="G384" i="7"/>
  <c r="C384" i="7"/>
  <c r="G383" i="7"/>
  <c r="C383" i="7"/>
  <c r="G382" i="7"/>
  <c r="C382" i="7"/>
  <c r="I381" i="7"/>
  <c r="J381" i="7" s="1"/>
  <c r="G381" i="7"/>
  <c r="C381" i="7"/>
  <c r="G380" i="7"/>
  <c r="C380" i="7"/>
  <c r="I379" i="7"/>
  <c r="J379" i="7" s="1"/>
  <c r="G379" i="7"/>
  <c r="C379" i="7"/>
  <c r="L378" i="7"/>
  <c r="G378" i="7"/>
  <c r="C378" i="7"/>
  <c r="G374" i="7"/>
  <c r="C374" i="7"/>
  <c r="G373" i="7"/>
  <c r="C373" i="7"/>
  <c r="G372" i="7"/>
  <c r="C372" i="7"/>
  <c r="G371" i="7"/>
  <c r="C371" i="7"/>
  <c r="I370" i="7"/>
  <c r="J370" i="7" s="1"/>
  <c r="G370" i="7"/>
  <c r="C370" i="7"/>
  <c r="G369" i="7"/>
  <c r="C369" i="7"/>
  <c r="I368" i="7"/>
  <c r="J368" i="7" s="1"/>
  <c r="G368" i="7"/>
  <c r="C368" i="7"/>
  <c r="L367" i="7"/>
  <c r="G367" i="7"/>
  <c r="C367" i="7"/>
  <c r="G363" i="7"/>
  <c r="C363" i="7"/>
  <c r="G362" i="7"/>
  <c r="C362" i="7"/>
  <c r="G361" i="7"/>
  <c r="C361" i="7"/>
  <c r="I360" i="7"/>
  <c r="J360" i="7" s="1"/>
  <c r="G360" i="7"/>
  <c r="C360" i="7"/>
  <c r="I359" i="7"/>
  <c r="J359" i="7" s="1"/>
  <c r="G359" i="7"/>
  <c r="C359" i="7"/>
  <c r="G358" i="7"/>
  <c r="C358" i="7"/>
  <c r="I357" i="7"/>
  <c r="J357" i="7" s="1"/>
  <c r="G357" i="7"/>
  <c r="C357" i="7"/>
  <c r="I356" i="7"/>
  <c r="J356" i="7" s="1"/>
  <c r="G356" i="7"/>
  <c r="C356" i="7"/>
  <c r="G355" i="7"/>
  <c r="C355" i="7"/>
  <c r="G351" i="7"/>
  <c r="C351" i="7"/>
  <c r="G350" i="7"/>
  <c r="C350" i="7"/>
  <c r="G349" i="7"/>
  <c r="C349" i="7"/>
  <c r="I348" i="7"/>
  <c r="J348" i="7" s="1"/>
  <c r="G348" i="7"/>
  <c r="C348" i="7"/>
  <c r="I347" i="7"/>
  <c r="J347" i="7" s="1"/>
  <c r="G347" i="7"/>
  <c r="C347" i="7"/>
  <c r="G346" i="7"/>
  <c r="C346" i="7"/>
  <c r="I345" i="7"/>
  <c r="J345" i="7" s="1"/>
  <c r="G345" i="7"/>
  <c r="C345" i="7"/>
  <c r="I344" i="7"/>
  <c r="J344" i="7" s="1"/>
  <c r="G344" i="7"/>
  <c r="C344" i="7"/>
  <c r="L343" i="7"/>
  <c r="G343" i="7"/>
  <c r="C343" i="7"/>
  <c r="G339" i="7"/>
  <c r="C339" i="7"/>
  <c r="G338" i="7"/>
  <c r="C338" i="7"/>
  <c r="G337" i="7"/>
  <c r="C337" i="7"/>
  <c r="L336" i="7"/>
  <c r="G336" i="7"/>
  <c r="C336" i="7"/>
  <c r="G332" i="7"/>
  <c r="C332" i="7"/>
  <c r="G331" i="7"/>
  <c r="C331" i="7"/>
  <c r="G330" i="7"/>
  <c r="C330" i="7"/>
  <c r="G329" i="7"/>
  <c r="C329" i="7"/>
  <c r="G328" i="7"/>
  <c r="C328" i="7"/>
  <c r="G327" i="7"/>
  <c r="C327" i="7"/>
  <c r="G323" i="7"/>
  <c r="C323" i="7"/>
  <c r="G322" i="7"/>
  <c r="C322" i="7"/>
  <c r="G321" i="7"/>
  <c r="C321" i="7"/>
  <c r="G320" i="7"/>
  <c r="C320" i="7"/>
  <c r="G319" i="7"/>
  <c r="C319" i="7"/>
  <c r="G315" i="7"/>
  <c r="C315" i="7"/>
  <c r="G314" i="7"/>
  <c r="C314" i="7"/>
  <c r="G313" i="7"/>
  <c r="C313" i="7"/>
  <c r="G312" i="7"/>
  <c r="C312" i="7"/>
  <c r="G311" i="7"/>
  <c r="C311" i="7"/>
  <c r="G310" i="7"/>
  <c r="C310" i="7"/>
  <c r="L309" i="7"/>
  <c r="G309" i="7"/>
  <c r="C309" i="7"/>
  <c r="G305" i="7"/>
  <c r="C305" i="7"/>
  <c r="G304" i="7"/>
  <c r="C304" i="7"/>
  <c r="G303" i="7"/>
  <c r="C303" i="7"/>
  <c r="I302" i="7"/>
  <c r="J302" i="7" s="1"/>
  <c r="G302" i="7"/>
  <c r="C302" i="7"/>
  <c r="I301" i="7"/>
  <c r="J301" i="7" s="1"/>
  <c r="G301" i="7"/>
  <c r="C301" i="7"/>
  <c r="G300" i="7"/>
  <c r="C300" i="7"/>
  <c r="L299" i="7"/>
  <c r="G299" i="7"/>
  <c r="C299" i="7"/>
  <c r="G295" i="7"/>
  <c r="C295" i="7"/>
  <c r="I294" i="7"/>
  <c r="J294" i="7" s="1"/>
  <c r="G294" i="7"/>
  <c r="C294" i="7"/>
  <c r="I293" i="7"/>
  <c r="J293" i="7" s="1"/>
  <c r="G293" i="7"/>
  <c r="C293" i="7"/>
  <c r="I292" i="7"/>
  <c r="J292" i="7" s="1"/>
  <c r="G292" i="7"/>
  <c r="C292" i="7"/>
  <c r="I291" i="7"/>
  <c r="J291" i="7" s="1"/>
  <c r="G291" i="7"/>
  <c r="C291" i="7"/>
  <c r="I290" i="7"/>
  <c r="J290" i="7" s="1"/>
  <c r="G290" i="7"/>
  <c r="C290" i="7"/>
  <c r="I289" i="7"/>
  <c r="J289" i="7" s="1"/>
  <c r="G289" i="7"/>
  <c r="C289" i="7"/>
  <c r="I288" i="7"/>
  <c r="J288" i="7" s="1"/>
  <c r="G288" i="7"/>
  <c r="C288" i="7"/>
  <c r="G287" i="7"/>
  <c r="C287" i="7"/>
  <c r="G283" i="7"/>
  <c r="C283" i="7"/>
  <c r="I282" i="7"/>
  <c r="J282" i="7" s="1"/>
  <c r="G282" i="7"/>
  <c r="C282" i="7"/>
  <c r="I281" i="7"/>
  <c r="J281" i="7" s="1"/>
  <c r="G281" i="7"/>
  <c r="C281" i="7"/>
  <c r="I280" i="7"/>
  <c r="J280" i="7" s="1"/>
  <c r="G280" i="7"/>
  <c r="C280" i="7"/>
  <c r="I279" i="7"/>
  <c r="J279" i="7" s="1"/>
  <c r="G279" i="7"/>
  <c r="C279" i="7"/>
  <c r="I278" i="7"/>
  <c r="J278" i="7" s="1"/>
  <c r="G278" i="7"/>
  <c r="C278" i="7"/>
  <c r="I277" i="7"/>
  <c r="J277" i="7" s="1"/>
  <c r="G277" i="7"/>
  <c r="C277" i="7"/>
  <c r="I276" i="7"/>
  <c r="J276" i="7" s="1"/>
  <c r="G276" i="7"/>
  <c r="C276" i="7"/>
  <c r="L275" i="7"/>
  <c r="G275" i="7"/>
  <c r="C275" i="7"/>
  <c r="G271" i="7"/>
  <c r="C271" i="7"/>
  <c r="G270" i="7"/>
  <c r="C270" i="7"/>
  <c r="I269" i="7"/>
  <c r="J269" i="7" s="1"/>
  <c r="G269" i="7"/>
  <c r="C269" i="7"/>
  <c r="I268" i="7"/>
  <c r="J268" i="7" s="1"/>
  <c r="G268" i="7"/>
  <c r="C268" i="7"/>
  <c r="G267" i="7"/>
  <c r="C267" i="7"/>
  <c r="L266" i="7"/>
  <c r="G266" i="7"/>
  <c r="C266" i="7"/>
  <c r="G262" i="7"/>
  <c r="C262" i="7"/>
  <c r="G261" i="7"/>
  <c r="C261" i="7"/>
  <c r="I260" i="7"/>
  <c r="J260" i="7" s="1"/>
  <c r="G260" i="7"/>
  <c r="C260" i="7"/>
  <c r="I259" i="7"/>
  <c r="J259" i="7" s="1"/>
  <c r="G259" i="7"/>
  <c r="C259" i="7"/>
  <c r="I258" i="7"/>
  <c r="J258" i="7" s="1"/>
  <c r="G258" i="7"/>
  <c r="C258" i="7"/>
  <c r="L257" i="7"/>
  <c r="G257" i="7"/>
  <c r="C257" i="7"/>
  <c r="G253" i="7"/>
  <c r="C253" i="7"/>
  <c r="G252" i="7"/>
  <c r="C252" i="7"/>
  <c r="I251" i="7"/>
  <c r="J251" i="7" s="1"/>
  <c r="G251" i="7"/>
  <c r="C251" i="7"/>
  <c r="I250" i="7"/>
  <c r="J250" i="7" s="1"/>
  <c r="G250" i="7"/>
  <c r="C250" i="7"/>
  <c r="G249" i="7"/>
  <c r="C249" i="7"/>
  <c r="L248" i="7"/>
  <c r="G248" i="7"/>
  <c r="C248" i="7"/>
  <c r="G244" i="7"/>
  <c r="C244" i="7"/>
  <c r="G243" i="7"/>
  <c r="C243" i="7"/>
  <c r="G242" i="7"/>
  <c r="C242" i="7"/>
  <c r="G241" i="7"/>
  <c r="C241" i="7"/>
  <c r="I240" i="7"/>
  <c r="J240" i="7" s="1"/>
  <c r="G240" i="7"/>
  <c r="C240" i="7"/>
  <c r="I239" i="7"/>
  <c r="J239" i="7" s="1"/>
  <c r="G239" i="7"/>
  <c r="C239" i="7"/>
  <c r="I238" i="7"/>
  <c r="J238" i="7" s="1"/>
  <c r="G238" i="7"/>
  <c r="C238" i="7"/>
  <c r="G237" i="7"/>
  <c r="C237" i="7"/>
  <c r="G236" i="7"/>
  <c r="C236" i="7"/>
  <c r="G232" i="7"/>
  <c r="C232" i="7"/>
  <c r="I231" i="7"/>
  <c r="J231" i="7" s="1"/>
  <c r="G231" i="7"/>
  <c r="C231" i="7"/>
  <c r="G230" i="7"/>
  <c r="C230" i="7"/>
  <c r="I229" i="7"/>
  <c r="J229" i="7" s="1"/>
  <c r="G229" i="7"/>
  <c r="C229" i="7"/>
  <c r="L228" i="7"/>
  <c r="G228" i="7"/>
  <c r="C228" i="7"/>
  <c r="G224" i="7"/>
  <c r="C224" i="7"/>
  <c r="G223" i="7"/>
  <c r="C223" i="7"/>
  <c r="G222" i="7"/>
  <c r="C222" i="7"/>
  <c r="G221" i="7"/>
  <c r="C221" i="7"/>
  <c r="G220" i="7"/>
  <c r="C220" i="7"/>
  <c r="G219" i="7"/>
  <c r="C219" i="7"/>
  <c r="G218" i="7"/>
  <c r="C218" i="7"/>
  <c r="G217" i="7"/>
  <c r="C217" i="7"/>
  <c r="G213" i="7"/>
  <c r="C213" i="7"/>
  <c r="G212" i="7"/>
  <c r="C212" i="7"/>
  <c r="I211" i="7"/>
  <c r="J211" i="7" s="1"/>
  <c r="G211" i="7"/>
  <c r="C211" i="7"/>
  <c r="I210" i="7"/>
  <c r="J210" i="7" s="1"/>
  <c r="G210" i="7"/>
  <c r="C210" i="7"/>
  <c r="I209" i="7"/>
  <c r="J209" i="7" s="1"/>
  <c r="G209" i="7"/>
  <c r="C209" i="7"/>
  <c r="L208" i="7"/>
  <c r="G208" i="7"/>
  <c r="C208" i="7"/>
  <c r="G204" i="7"/>
  <c r="C204" i="7"/>
  <c r="L203" i="7"/>
  <c r="G203" i="7"/>
  <c r="C203" i="7"/>
  <c r="I199" i="7"/>
  <c r="J199" i="7" s="1"/>
  <c r="J200" i="7" s="1"/>
  <c r="G199" i="7"/>
  <c r="C199" i="7"/>
  <c r="G198" i="7"/>
  <c r="C198" i="7"/>
  <c r="G194" i="7"/>
  <c r="C194" i="7"/>
  <c r="G193" i="7"/>
  <c r="C193" i="7"/>
  <c r="I192" i="7"/>
  <c r="J192" i="7" s="1"/>
  <c r="G192" i="7"/>
  <c r="C192" i="7"/>
  <c r="I191" i="7"/>
  <c r="J191" i="7" s="1"/>
  <c r="G191" i="7"/>
  <c r="C191" i="7"/>
  <c r="G190" i="7"/>
  <c r="C190" i="7"/>
  <c r="L189" i="7"/>
  <c r="G189" i="7"/>
  <c r="C189" i="7"/>
  <c r="G185" i="7"/>
  <c r="C185" i="7"/>
  <c r="G184" i="7"/>
  <c r="C184" i="7"/>
  <c r="I183" i="7"/>
  <c r="J183" i="7" s="1"/>
  <c r="G183" i="7"/>
  <c r="C183" i="7"/>
  <c r="I182" i="7"/>
  <c r="J182" i="7" s="1"/>
  <c r="G182" i="7"/>
  <c r="C182" i="7"/>
  <c r="I181" i="7"/>
  <c r="J181" i="7" s="1"/>
  <c r="G181" i="7"/>
  <c r="C181" i="7"/>
  <c r="L180" i="7"/>
  <c r="G180" i="7"/>
  <c r="C180" i="7"/>
  <c r="G176" i="7"/>
  <c r="C176" i="7"/>
  <c r="G175" i="7"/>
  <c r="C175" i="7"/>
  <c r="I174" i="7"/>
  <c r="J174" i="7" s="1"/>
  <c r="G174" i="7"/>
  <c r="C174" i="7"/>
  <c r="I173" i="7"/>
  <c r="J173" i="7" s="1"/>
  <c r="G173" i="7"/>
  <c r="C173" i="7"/>
  <c r="I172" i="7"/>
  <c r="J172" i="7" s="1"/>
  <c r="G172" i="7"/>
  <c r="C172" i="7"/>
  <c r="L171" i="7"/>
  <c r="G171" i="7"/>
  <c r="C171" i="7"/>
  <c r="G167" i="7"/>
  <c r="C167" i="7"/>
  <c r="G166" i="7"/>
  <c r="C166" i="7"/>
  <c r="G165" i="7"/>
  <c r="C165" i="7"/>
  <c r="I164" i="7"/>
  <c r="J164" i="7" s="1"/>
  <c r="G164" i="7"/>
  <c r="C164" i="7"/>
  <c r="I163" i="7"/>
  <c r="J163" i="7" s="1"/>
  <c r="G163" i="7"/>
  <c r="C163" i="7"/>
  <c r="I162" i="7"/>
  <c r="J162" i="7" s="1"/>
  <c r="G162" i="7"/>
  <c r="C162" i="7"/>
  <c r="I161" i="7"/>
  <c r="J161" i="7" s="1"/>
  <c r="G161" i="7"/>
  <c r="C161" i="7"/>
  <c r="I160" i="7"/>
  <c r="J160" i="7" s="1"/>
  <c r="G160" i="7"/>
  <c r="C160" i="7"/>
  <c r="I159" i="7"/>
  <c r="J159" i="7" s="1"/>
  <c r="G159" i="7"/>
  <c r="C159" i="7"/>
  <c r="G158" i="7"/>
  <c r="C158" i="7"/>
  <c r="I157" i="7"/>
  <c r="J157" i="7" s="1"/>
  <c r="G157" i="7"/>
  <c r="C157" i="7"/>
  <c r="I156" i="7"/>
  <c r="J156" i="7" s="1"/>
  <c r="G156" i="7"/>
  <c r="C156" i="7"/>
  <c r="G155" i="7"/>
  <c r="C155" i="7"/>
  <c r="G151" i="7"/>
  <c r="C151" i="7"/>
  <c r="I150" i="7"/>
  <c r="J150" i="7" s="1"/>
  <c r="G150" i="7"/>
  <c r="C150" i="7"/>
  <c r="G149" i="7"/>
  <c r="C149" i="7"/>
  <c r="G148" i="7"/>
  <c r="C148" i="7"/>
  <c r="I147" i="7"/>
  <c r="J147" i="7" s="1"/>
  <c r="G147" i="7"/>
  <c r="C147" i="7"/>
  <c r="G146" i="7"/>
  <c r="C146" i="7"/>
  <c r="I145" i="7"/>
  <c r="J145" i="7" s="1"/>
  <c r="G145" i="7"/>
  <c r="C145" i="7"/>
  <c r="G144" i="7"/>
  <c r="C144" i="7"/>
  <c r="I143" i="7"/>
  <c r="J143" i="7" s="1"/>
  <c r="G143" i="7"/>
  <c r="C143" i="7"/>
  <c r="I142" i="7"/>
  <c r="J142" i="7" s="1"/>
  <c r="G142" i="7"/>
  <c r="C142" i="7"/>
  <c r="I141" i="7"/>
  <c r="J141" i="7" s="1"/>
  <c r="G141" i="7"/>
  <c r="C141" i="7"/>
  <c r="I140" i="7"/>
  <c r="J140" i="7" s="1"/>
  <c r="G140" i="7"/>
  <c r="C140" i="7"/>
  <c r="I139" i="7"/>
  <c r="J139" i="7" s="1"/>
  <c r="G139" i="7"/>
  <c r="C139" i="7"/>
  <c r="G138" i="7"/>
  <c r="C138" i="7"/>
  <c r="G137" i="7"/>
  <c r="C137" i="7"/>
  <c r="G136" i="7"/>
  <c r="C136" i="7"/>
  <c r="G135" i="7"/>
  <c r="C135" i="7"/>
  <c r="I134" i="7"/>
  <c r="J134" i="7" s="1"/>
  <c r="G134" i="7"/>
  <c r="C134" i="7"/>
  <c r="I133" i="7"/>
  <c r="J133" i="7" s="1"/>
  <c r="G133" i="7"/>
  <c r="C133" i="7"/>
  <c r="I132" i="7"/>
  <c r="J132" i="7" s="1"/>
  <c r="G132" i="7"/>
  <c r="C132" i="7"/>
  <c r="G131" i="7"/>
  <c r="C131" i="7"/>
  <c r="L130" i="7"/>
  <c r="G130" i="7"/>
  <c r="C130" i="7"/>
  <c r="G126" i="7"/>
  <c r="C126" i="7"/>
  <c r="I125" i="7"/>
  <c r="J125" i="7" s="1"/>
  <c r="G125" i="7"/>
  <c r="C125" i="7"/>
  <c r="I124" i="7"/>
  <c r="J124" i="7" s="1"/>
  <c r="G124" i="7"/>
  <c r="C124" i="7"/>
  <c r="G123" i="7"/>
  <c r="C123" i="7"/>
  <c r="I122" i="7"/>
  <c r="J122" i="7" s="1"/>
  <c r="G122" i="7"/>
  <c r="C122" i="7"/>
  <c r="G121" i="7"/>
  <c r="C121" i="7"/>
  <c r="I120" i="7"/>
  <c r="J120" i="7" s="1"/>
  <c r="G120" i="7"/>
  <c r="C120" i="7"/>
  <c r="I119" i="7"/>
  <c r="J119" i="7" s="1"/>
  <c r="G119" i="7"/>
  <c r="C119" i="7"/>
  <c r="I118" i="7"/>
  <c r="J118" i="7" s="1"/>
  <c r="G118" i="7"/>
  <c r="C118" i="7"/>
  <c r="G117" i="7"/>
  <c r="C117" i="7"/>
  <c r="G116" i="7"/>
  <c r="C116" i="7"/>
  <c r="G115" i="7"/>
  <c r="C115" i="7"/>
  <c r="G114" i="7"/>
  <c r="C114" i="7"/>
  <c r="I113" i="7"/>
  <c r="J113" i="7" s="1"/>
  <c r="G113" i="7"/>
  <c r="C113" i="7"/>
  <c r="I112" i="7"/>
  <c r="J112" i="7" s="1"/>
  <c r="G112" i="7"/>
  <c r="C112" i="7"/>
  <c r="G111" i="7"/>
  <c r="C111" i="7"/>
  <c r="I110" i="7"/>
  <c r="J110" i="7" s="1"/>
  <c r="G110" i="7"/>
  <c r="C110" i="7"/>
  <c r="G109" i="7"/>
  <c r="C109" i="7"/>
  <c r="G108" i="7"/>
  <c r="C108" i="7"/>
  <c r="G104" i="7"/>
  <c r="C104" i="7"/>
  <c r="G103" i="7"/>
  <c r="C103" i="7"/>
  <c r="G102" i="7"/>
  <c r="C102" i="7"/>
  <c r="G101" i="7"/>
  <c r="C101" i="7"/>
  <c r="G100" i="7"/>
  <c r="C100" i="7"/>
  <c r="G99" i="7"/>
  <c r="C99" i="7"/>
  <c r="G98" i="7"/>
  <c r="C98" i="7"/>
  <c r="I97" i="7"/>
  <c r="J97" i="7" s="1"/>
  <c r="G97" i="7"/>
  <c r="C97" i="7"/>
  <c r="I96" i="7"/>
  <c r="J96" i="7" s="1"/>
  <c r="G96" i="7"/>
  <c r="C96" i="7"/>
  <c r="G95" i="7"/>
  <c r="C95" i="7"/>
  <c r="I94" i="7"/>
  <c r="J94" i="7" s="1"/>
  <c r="G94" i="7"/>
  <c r="C94" i="7"/>
  <c r="G93" i="7"/>
  <c r="C93" i="7"/>
  <c r="I92" i="7"/>
  <c r="J92" i="7" s="1"/>
  <c r="G92" i="7"/>
  <c r="C92" i="7"/>
  <c r="G91" i="7"/>
  <c r="C91" i="7"/>
  <c r="L90" i="7"/>
  <c r="G90" i="7"/>
  <c r="C90" i="7"/>
  <c r="G86" i="7"/>
  <c r="C86" i="7"/>
  <c r="I85" i="7"/>
  <c r="J85" i="7" s="1"/>
  <c r="G85" i="7"/>
  <c r="C85" i="7"/>
  <c r="L84" i="7"/>
  <c r="G84" i="7"/>
  <c r="C84" i="7"/>
  <c r="G80" i="7"/>
  <c r="C80" i="7"/>
  <c r="I79" i="7"/>
  <c r="J79" i="7" s="1"/>
  <c r="G79" i="7"/>
  <c r="C79" i="7"/>
  <c r="G78" i="7"/>
  <c r="C78" i="7"/>
  <c r="G74" i="7"/>
  <c r="C74" i="7"/>
  <c r="I73" i="7"/>
  <c r="J73" i="7" s="1"/>
  <c r="G73" i="7"/>
  <c r="C73" i="7"/>
  <c r="L72" i="7"/>
  <c r="G72" i="7"/>
  <c r="C72" i="7"/>
  <c r="G68" i="7"/>
  <c r="C68" i="7"/>
  <c r="I67" i="7"/>
  <c r="J67" i="7" s="1"/>
  <c r="G67" i="7"/>
  <c r="C67" i="7"/>
  <c r="G66" i="7"/>
  <c r="C66" i="7"/>
  <c r="I65" i="7"/>
  <c r="J65" i="7" s="1"/>
  <c r="G65" i="7"/>
  <c r="C65" i="7"/>
  <c r="I64" i="7"/>
  <c r="J64" i="7" s="1"/>
  <c r="G64" i="7"/>
  <c r="C64" i="7"/>
  <c r="I63" i="7"/>
  <c r="J63" i="7" s="1"/>
  <c r="G63" i="7"/>
  <c r="C63" i="7"/>
  <c r="I62" i="7"/>
  <c r="J62" i="7" s="1"/>
  <c r="G62" i="7"/>
  <c r="C62" i="7"/>
  <c r="I61" i="7"/>
  <c r="J61" i="7" s="1"/>
  <c r="G61" i="7"/>
  <c r="C61" i="7"/>
  <c r="L60" i="7"/>
  <c r="G60" i="7"/>
  <c r="C60" i="7"/>
  <c r="G56" i="7"/>
  <c r="C56" i="7"/>
  <c r="I55" i="7"/>
  <c r="J55" i="7" s="1"/>
  <c r="G55" i="7"/>
  <c r="C55" i="7"/>
  <c r="I54" i="7"/>
  <c r="J54" i="7" s="1"/>
  <c r="G54" i="7"/>
  <c r="C54" i="7"/>
  <c r="I53" i="7"/>
  <c r="J53" i="7" s="1"/>
  <c r="G53" i="7"/>
  <c r="C53" i="7"/>
  <c r="I52" i="7"/>
  <c r="J52" i="7" s="1"/>
  <c r="G52" i="7"/>
  <c r="C52" i="7"/>
  <c r="I51" i="7"/>
  <c r="J51" i="7" s="1"/>
  <c r="G51" i="7"/>
  <c r="C51" i="7"/>
  <c r="I50" i="7"/>
  <c r="J50" i="7" s="1"/>
  <c r="G50" i="7"/>
  <c r="C50" i="7"/>
  <c r="I49" i="7"/>
  <c r="J49" i="7" s="1"/>
  <c r="G49" i="7"/>
  <c r="C49" i="7"/>
  <c r="L48" i="7"/>
  <c r="G48" i="7"/>
  <c r="C48" i="7"/>
  <c r="G44" i="7"/>
  <c r="C44" i="7"/>
  <c r="G43" i="7"/>
  <c r="C43" i="7"/>
  <c r="G42" i="7"/>
  <c r="C42" i="7"/>
  <c r="G41" i="7"/>
  <c r="C41" i="7"/>
  <c r="I40" i="7"/>
  <c r="J40" i="7" s="1"/>
  <c r="G40" i="7"/>
  <c r="C40" i="7"/>
  <c r="I39" i="7"/>
  <c r="J39" i="7" s="1"/>
  <c r="G39" i="7"/>
  <c r="C39" i="7"/>
  <c r="G38" i="7"/>
  <c r="C38" i="7"/>
  <c r="G37" i="7"/>
  <c r="C37" i="7"/>
  <c r="G33" i="7"/>
  <c r="C33" i="7"/>
  <c r="I32" i="7"/>
  <c r="J32" i="7" s="1"/>
  <c r="G32" i="7"/>
  <c r="C32" i="7"/>
  <c r="I31" i="7"/>
  <c r="J31" i="7" s="1"/>
  <c r="G31" i="7"/>
  <c r="C31" i="7"/>
  <c r="I30" i="7"/>
  <c r="J30" i="7" s="1"/>
  <c r="G30" i="7"/>
  <c r="C30" i="7"/>
  <c r="I29" i="7"/>
  <c r="J29" i="7" s="1"/>
  <c r="G29" i="7"/>
  <c r="C29" i="7"/>
  <c r="G28" i="7"/>
  <c r="C28" i="7"/>
  <c r="L27" i="7"/>
  <c r="G27" i="7"/>
  <c r="C27" i="7"/>
  <c r="G23" i="7"/>
  <c r="C23" i="7"/>
  <c r="I22" i="7"/>
  <c r="J22" i="7" s="1"/>
  <c r="G22" i="7"/>
  <c r="C22" i="7"/>
  <c r="I21" i="7"/>
  <c r="J21" i="7" s="1"/>
  <c r="G21" i="7"/>
  <c r="C21" i="7"/>
  <c r="I20" i="7"/>
  <c r="J20" i="7" s="1"/>
  <c r="G20" i="7"/>
  <c r="C20" i="7"/>
  <c r="I19" i="7"/>
  <c r="J19" i="7" s="1"/>
  <c r="G19" i="7"/>
  <c r="C19" i="7"/>
  <c r="I18" i="7"/>
  <c r="J18" i="7" s="1"/>
  <c r="G18" i="7"/>
  <c r="C18" i="7"/>
  <c r="L17" i="7"/>
  <c r="G17" i="7"/>
  <c r="C17" i="7"/>
  <c r="G13" i="7"/>
  <c r="C13" i="7"/>
  <c r="I12" i="7"/>
  <c r="J12" i="7" s="1"/>
  <c r="G12" i="7"/>
  <c r="C12" i="7"/>
  <c r="G11" i="7"/>
  <c r="C11" i="7"/>
  <c r="I10" i="7"/>
  <c r="J10" i="7" s="1"/>
  <c r="G10" i="7"/>
  <c r="C10" i="7"/>
  <c r="I9" i="7"/>
  <c r="J9" i="7" s="1"/>
  <c r="G9" i="7"/>
  <c r="C9" i="7"/>
  <c r="G8" i="7"/>
  <c r="C8" i="7"/>
  <c r="G7" i="7"/>
  <c r="C7" i="7"/>
  <c r="B5" i="7"/>
  <c r="A2" i="7"/>
  <c r="A1" i="7"/>
  <c r="G789" i="6"/>
  <c r="C789" i="6"/>
  <c r="I788" i="6"/>
  <c r="G788" i="6"/>
  <c r="C788" i="6"/>
  <c r="I787" i="6"/>
  <c r="G787" i="6"/>
  <c r="C787" i="6"/>
  <c r="G786" i="6"/>
  <c r="C786" i="6"/>
  <c r="L785" i="6"/>
  <c r="G785" i="6"/>
  <c r="C785" i="6"/>
  <c r="G779" i="6"/>
  <c r="C779" i="6"/>
  <c r="L778" i="6"/>
  <c r="G778" i="6"/>
  <c r="C778" i="6"/>
  <c r="G772" i="6"/>
  <c r="C772" i="6"/>
  <c r="G771" i="6"/>
  <c r="C771" i="6"/>
  <c r="G770" i="6"/>
  <c r="C770" i="6"/>
  <c r="L769" i="6"/>
  <c r="G769" i="6"/>
  <c r="C769" i="6"/>
  <c r="G763" i="6"/>
  <c r="C763" i="6"/>
  <c r="G762" i="6"/>
  <c r="C762" i="6"/>
  <c r="L761" i="6"/>
  <c r="G761" i="6"/>
  <c r="C761" i="6"/>
  <c r="I755" i="6"/>
  <c r="G755" i="6"/>
  <c r="C755" i="6"/>
  <c r="G754" i="6"/>
  <c r="C754" i="6"/>
  <c r="G753" i="6"/>
  <c r="C753" i="6"/>
  <c r="G752" i="6"/>
  <c r="C752" i="6"/>
  <c r="G751" i="6"/>
  <c r="C751" i="6"/>
  <c r="G750" i="6"/>
  <c r="C750" i="6"/>
  <c r="G749" i="6"/>
  <c r="C749" i="6"/>
  <c r="G743" i="6"/>
  <c r="C743" i="6"/>
  <c r="G742" i="6"/>
  <c r="C742" i="6"/>
  <c r="G741" i="6"/>
  <c r="C741" i="6"/>
  <c r="G735" i="6"/>
  <c r="C735" i="6"/>
  <c r="G734" i="6"/>
  <c r="C734" i="6"/>
  <c r="L733" i="6"/>
  <c r="G733" i="6"/>
  <c r="C733" i="6"/>
  <c r="G727" i="6"/>
  <c r="C727" i="6"/>
  <c r="G726" i="6"/>
  <c r="C726" i="6"/>
  <c r="L725" i="6"/>
  <c r="G725" i="6"/>
  <c r="C725" i="6"/>
  <c r="G719" i="6"/>
  <c r="C719" i="6"/>
  <c r="I718" i="6"/>
  <c r="G718" i="6"/>
  <c r="C718" i="6"/>
  <c r="G717" i="6"/>
  <c r="C717" i="6"/>
  <c r="G716" i="6"/>
  <c r="C716" i="6"/>
  <c r="I715" i="6"/>
  <c r="G715" i="6"/>
  <c r="C715" i="6"/>
  <c r="L714" i="6"/>
  <c r="G714" i="6"/>
  <c r="C714" i="6"/>
  <c r="G708" i="6"/>
  <c r="C708" i="6"/>
  <c r="G707" i="6"/>
  <c r="C707" i="6"/>
  <c r="G706" i="6"/>
  <c r="C706" i="6"/>
  <c r="G705" i="6"/>
  <c r="C705" i="6"/>
  <c r="G704" i="6"/>
  <c r="C704" i="6"/>
  <c r="G698" i="6"/>
  <c r="C698" i="6"/>
  <c r="G697" i="6"/>
  <c r="C697" i="6"/>
  <c r="I696" i="6"/>
  <c r="G696" i="6"/>
  <c r="C696" i="6"/>
  <c r="I695" i="6"/>
  <c r="G695" i="6"/>
  <c r="C695" i="6"/>
  <c r="G694" i="6"/>
  <c r="C694" i="6"/>
  <c r="G688" i="6"/>
  <c r="C688" i="6"/>
  <c r="G687" i="6"/>
  <c r="C687" i="6"/>
  <c r="I686" i="6"/>
  <c r="G686" i="6"/>
  <c r="C686" i="6"/>
  <c r="I685" i="6"/>
  <c r="G685" i="6"/>
  <c r="C685" i="6"/>
  <c r="L684" i="6"/>
  <c r="G684" i="6"/>
  <c r="C684" i="6"/>
  <c r="G678" i="6"/>
  <c r="C678" i="6"/>
  <c r="G677" i="6"/>
  <c r="C677" i="6"/>
  <c r="I676" i="6"/>
  <c r="G676" i="6"/>
  <c r="C676" i="6"/>
  <c r="I675" i="6"/>
  <c r="G675" i="6"/>
  <c r="C675" i="6"/>
  <c r="G674" i="6"/>
  <c r="C674" i="6"/>
  <c r="G668" i="6"/>
  <c r="C668" i="6"/>
  <c r="G667" i="6"/>
  <c r="C667" i="6"/>
  <c r="G666" i="6"/>
  <c r="C666" i="6"/>
  <c r="L665" i="6"/>
  <c r="G665" i="6"/>
  <c r="C665" i="6"/>
  <c r="G659" i="6"/>
  <c r="C659" i="6"/>
  <c r="G658" i="6"/>
  <c r="C658" i="6"/>
  <c r="I657" i="6"/>
  <c r="G657" i="6"/>
  <c r="C657" i="6"/>
  <c r="G656" i="6"/>
  <c r="C656" i="6"/>
  <c r="G650" i="6"/>
  <c r="C650" i="6"/>
  <c r="G649" i="6"/>
  <c r="C649" i="6"/>
  <c r="G648" i="6"/>
  <c r="C648" i="6"/>
  <c r="G647" i="6"/>
  <c r="C647" i="6"/>
  <c r="L646" i="6"/>
  <c r="G646" i="6"/>
  <c r="C646" i="6"/>
  <c r="G640" i="6"/>
  <c r="C640" i="6"/>
  <c r="G639" i="6"/>
  <c r="C639" i="6"/>
  <c r="I638" i="6"/>
  <c r="G638" i="6"/>
  <c r="C638" i="6"/>
  <c r="I637" i="6"/>
  <c r="G637" i="6"/>
  <c r="C637" i="6"/>
  <c r="G636" i="6"/>
  <c r="C636" i="6"/>
  <c r="G630" i="6"/>
  <c r="C630" i="6"/>
  <c r="G629" i="6"/>
  <c r="C629" i="6"/>
  <c r="G628" i="6"/>
  <c r="C628" i="6"/>
  <c r="G627" i="6"/>
  <c r="C627" i="6"/>
  <c r="G626" i="6"/>
  <c r="C626" i="6"/>
  <c r="L625" i="6"/>
  <c r="G625" i="6"/>
  <c r="C625" i="6"/>
  <c r="I619" i="6"/>
  <c r="G619" i="6"/>
  <c r="C619" i="6"/>
  <c r="I618" i="6"/>
  <c r="G618" i="6"/>
  <c r="C618" i="6"/>
  <c r="G617" i="6"/>
  <c r="C617" i="6"/>
  <c r="G616" i="6"/>
  <c r="C616" i="6"/>
  <c r="G615" i="6"/>
  <c r="C615" i="6"/>
  <c r="I614" i="6"/>
  <c r="G614" i="6"/>
  <c r="C614" i="6"/>
  <c r="L613" i="6"/>
  <c r="G613" i="6"/>
  <c r="C613" i="6"/>
  <c r="I607" i="6"/>
  <c r="G607" i="6"/>
  <c r="C607" i="6"/>
  <c r="I606" i="6"/>
  <c r="G606" i="6"/>
  <c r="C606" i="6"/>
  <c r="G605" i="6"/>
  <c r="C605" i="6"/>
  <c r="G604" i="6"/>
  <c r="C604" i="6"/>
  <c r="G603" i="6"/>
  <c r="C603" i="6"/>
  <c r="G602" i="6"/>
  <c r="C602" i="6"/>
  <c r="I601" i="6"/>
  <c r="G601" i="6"/>
  <c r="C601" i="6"/>
  <c r="I600" i="6"/>
  <c r="G600" i="6"/>
  <c r="C600" i="6"/>
  <c r="I599" i="6"/>
  <c r="G599" i="6"/>
  <c r="C599" i="6"/>
  <c r="G598" i="6"/>
  <c r="C598" i="6"/>
  <c r="G597" i="6"/>
  <c r="C597" i="6"/>
  <c r="I596" i="6"/>
  <c r="G596" i="6"/>
  <c r="C596" i="6"/>
  <c r="G595" i="6"/>
  <c r="C595" i="6"/>
  <c r="I594" i="6"/>
  <c r="G594" i="6"/>
  <c r="C594" i="6"/>
  <c r="L593" i="6"/>
  <c r="G593" i="6"/>
  <c r="C593" i="6"/>
  <c r="G587" i="6"/>
  <c r="C587" i="6"/>
  <c r="G586" i="6"/>
  <c r="C586" i="6"/>
  <c r="I585" i="6"/>
  <c r="G585" i="6"/>
  <c r="C585" i="6"/>
  <c r="G584" i="6"/>
  <c r="C584" i="6"/>
  <c r="G583" i="6"/>
  <c r="C583" i="6"/>
  <c r="I582" i="6"/>
  <c r="G582" i="6"/>
  <c r="C582" i="6"/>
  <c r="G581" i="6"/>
  <c r="C581" i="6"/>
  <c r="G575" i="6"/>
  <c r="C575" i="6"/>
  <c r="G574" i="6"/>
  <c r="C574" i="6"/>
  <c r="G573" i="6"/>
  <c r="C573" i="6"/>
  <c r="G572" i="6"/>
  <c r="C572" i="6"/>
  <c r="G571" i="6"/>
  <c r="C571" i="6"/>
  <c r="I570" i="6"/>
  <c r="G570" i="6"/>
  <c r="C570" i="6"/>
  <c r="I569" i="6"/>
  <c r="G569" i="6"/>
  <c r="C569" i="6"/>
  <c r="I568" i="6"/>
  <c r="G568" i="6"/>
  <c r="C568" i="6"/>
  <c r="G567" i="6"/>
  <c r="C567" i="6"/>
  <c r="I566" i="6"/>
  <c r="G566" i="6"/>
  <c r="C566" i="6"/>
  <c r="G565" i="6"/>
  <c r="C565" i="6"/>
  <c r="G564" i="6"/>
  <c r="C564" i="6"/>
  <c r="G563" i="6"/>
  <c r="C563" i="6"/>
  <c r="G557" i="6"/>
  <c r="C557" i="6"/>
  <c r="G556" i="6"/>
  <c r="C556" i="6"/>
  <c r="G555" i="6"/>
  <c r="C555" i="6"/>
  <c r="G554" i="6"/>
  <c r="C554" i="6"/>
  <c r="G553" i="6"/>
  <c r="C553" i="6"/>
  <c r="G552" i="6"/>
  <c r="C552" i="6"/>
  <c r="G551" i="6"/>
  <c r="C551" i="6"/>
  <c r="G550" i="6"/>
  <c r="C550" i="6"/>
  <c r="G549" i="6"/>
  <c r="C549" i="6"/>
  <c r="G548" i="6"/>
  <c r="C548" i="6"/>
  <c r="G547" i="6"/>
  <c r="C547" i="6"/>
  <c r="G546" i="6"/>
  <c r="C546" i="6"/>
  <c r="G545" i="6"/>
  <c r="C545" i="6"/>
  <c r="G544" i="6"/>
  <c r="C544" i="6"/>
  <c r="G543" i="6"/>
  <c r="C543" i="6"/>
  <c r="G542" i="6"/>
  <c r="C542" i="6"/>
  <c r="G541" i="6"/>
  <c r="C541" i="6"/>
  <c r="G540" i="6"/>
  <c r="C540" i="6"/>
  <c r="G539" i="6"/>
  <c r="C539" i="6"/>
  <c r="G538" i="6"/>
  <c r="C538" i="6"/>
  <c r="G532" i="6"/>
  <c r="C532" i="6"/>
  <c r="G531" i="6"/>
  <c r="C531" i="6"/>
  <c r="G530" i="6"/>
  <c r="C530" i="6"/>
  <c r="G529" i="6"/>
  <c r="C529" i="6"/>
  <c r="G528" i="6"/>
  <c r="C528" i="6"/>
  <c r="G527" i="6"/>
  <c r="C527" i="6"/>
  <c r="G526" i="6"/>
  <c r="C526" i="6"/>
  <c r="G525" i="6"/>
  <c r="C525" i="6"/>
  <c r="G524" i="6"/>
  <c r="C524" i="6"/>
  <c r="L523" i="6"/>
  <c r="G523" i="6"/>
  <c r="C523" i="6"/>
  <c r="G517" i="6"/>
  <c r="C517" i="6"/>
  <c r="G516" i="6"/>
  <c r="C516" i="6"/>
  <c r="G515" i="6"/>
  <c r="C515" i="6"/>
  <c r="G514" i="6"/>
  <c r="C514" i="6"/>
  <c r="G508" i="6"/>
  <c r="C508" i="6"/>
  <c r="I507" i="6"/>
  <c r="G507" i="6"/>
  <c r="C507" i="6"/>
  <c r="G506" i="6"/>
  <c r="C506" i="6"/>
  <c r="I505" i="6"/>
  <c r="G505" i="6"/>
  <c r="C505" i="6"/>
  <c r="G504" i="6"/>
  <c r="C504" i="6"/>
  <c r="I503" i="6"/>
  <c r="G503" i="6"/>
  <c r="C503" i="6"/>
  <c r="I502" i="6"/>
  <c r="G502" i="6"/>
  <c r="C502" i="6"/>
  <c r="L501" i="6"/>
  <c r="G501" i="6"/>
  <c r="C501" i="6"/>
  <c r="I495" i="6"/>
  <c r="G495" i="6"/>
  <c r="C495" i="6"/>
  <c r="G494" i="6"/>
  <c r="C494" i="6"/>
  <c r="I493" i="6"/>
  <c r="G493" i="6"/>
  <c r="C493" i="6"/>
  <c r="G492" i="6"/>
  <c r="C492" i="6"/>
  <c r="I491" i="6"/>
  <c r="G491" i="6"/>
  <c r="C491" i="6"/>
  <c r="G490" i="6"/>
  <c r="C490" i="6"/>
  <c r="I489" i="6"/>
  <c r="G489" i="6"/>
  <c r="C489" i="6"/>
  <c r="G488" i="6"/>
  <c r="C488" i="6"/>
  <c r="I487" i="6"/>
  <c r="G487" i="6"/>
  <c r="C487" i="6"/>
  <c r="G486" i="6"/>
  <c r="C486" i="6"/>
  <c r="G480" i="6"/>
  <c r="C480" i="6"/>
  <c r="G479" i="6"/>
  <c r="C479" i="6"/>
  <c r="G478" i="6"/>
  <c r="C478" i="6"/>
  <c r="G477" i="6"/>
  <c r="C477" i="6"/>
  <c r="G476" i="6"/>
  <c r="C476" i="6"/>
  <c r="G475" i="6"/>
  <c r="C475" i="6"/>
  <c r="G474" i="6"/>
  <c r="C474" i="6"/>
  <c r="G473" i="6"/>
  <c r="C473" i="6"/>
  <c r="G472" i="6"/>
  <c r="C472" i="6"/>
  <c r="G471" i="6"/>
  <c r="C471" i="6"/>
  <c r="G470" i="6"/>
  <c r="C470" i="6"/>
  <c r="G469" i="6"/>
  <c r="C469" i="6"/>
  <c r="G468" i="6"/>
  <c r="C468" i="6"/>
  <c r="G467" i="6"/>
  <c r="C467" i="6"/>
  <c r="G466" i="6"/>
  <c r="C466" i="6"/>
  <c r="G465" i="6"/>
  <c r="C465" i="6"/>
  <c r="G464" i="6"/>
  <c r="C464" i="6"/>
  <c r="G463" i="6"/>
  <c r="C463" i="6"/>
  <c r="G462" i="6"/>
  <c r="C462" i="6"/>
  <c r="G461" i="6"/>
  <c r="C461" i="6"/>
  <c r="G460" i="6"/>
  <c r="C460" i="6"/>
  <c r="G459" i="6"/>
  <c r="C459" i="6"/>
  <c r="G458" i="6"/>
  <c r="C458" i="6"/>
  <c r="G457" i="6"/>
  <c r="C457" i="6"/>
  <c r="G456" i="6"/>
  <c r="C456" i="6"/>
  <c r="L455" i="6"/>
  <c r="G455" i="6"/>
  <c r="C455" i="6"/>
  <c r="I449" i="6"/>
  <c r="G449" i="6"/>
  <c r="C449" i="6"/>
  <c r="G448" i="6"/>
  <c r="C448" i="6"/>
  <c r="G447" i="6"/>
  <c r="C447" i="6"/>
  <c r="G446" i="6"/>
  <c r="C446" i="6"/>
  <c r="I445" i="6"/>
  <c r="G445" i="6"/>
  <c r="C445" i="6"/>
  <c r="G444" i="6"/>
  <c r="C444" i="6"/>
  <c r="G443" i="6"/>
  <c r="C443" i="6"/>
  <c r="I442" i="6"/>
  <c r="G442" i="6"/>
  <c r="C442" i="6"/>
  <c r="L441" i="6"/>
  <c r="G441" i="6"/>
  <c r="C441" i="6"/>
  <c r="G435" i="6"/>
  <c r="C435" i="6"/>
  <c r="G434" i="6"/>
  <c r="C434" i="6"/>
  <c r="G433" i="6"/>
  <c r="C433" i="6"/>
  <c r="G432" i="6"/>
  <c r="C432" i="6"/>
  <c r="G431" i="6"/>
  <c r="C431" i="6"/>
  <c r="G430" i="6"/>
  <c r="C430" i="6"/>
  <c r="L429" i="6"/>
  <c r="G429" i="6"/>
  <c r="C429" i="6"/>
  <c r="G423" i="6"/>
  <c r="C423" i="6"/>
  <c r="G422" i="6"/>
  <c r="C422" i="6"/>
  <c r="G421" i="6"/>
  <c r="C421" i="6"/>
  <c r="G420" i="6"/>
  <c r="C420" i="6"/>
  <c r="L419" i="6"/>
  <c r="G419" i="6"/>
  <c r="C419" i="6"/>
  <c r="G413" i="6"/>
  <c r="C413" i="6"/>
  <c r="G412" i="6"/>
  <c r="C412" i="6"/>
  <c r="I411" i="6"/>
  <c r="G411" i="6"/>
  <c r="C411" i="6"/>
  <c r="L410" i="6"/>
  <c r="G410" i="6"/>
  <c r="C410" i="6"/>
  <c r="G404" i="6"/>
  <c r="C404" i="6"/>
  <c r="G403" i="6"/>
  <c r="C403" i="6"/>
  <c r="I402" i="6"/>
  <c r="G402" i="6"/>
  <c r="C402" i="6"/>
  <c r="L401" i="6"/>
  <c r="G401" i="6"/>
  <c r="C401" i="6"/>
  <c r="G395" i="6"/>
  <c r="C395" i="6"/>
  <c r="G394" i="6"/>
  <c r="C394" i="6"/>
  <c r="I393" i="6"/>
  <c r="G393" i="6"/>
  <c r="C393" i="6"/>
  <c r="L392" i="6"/>
  <c r="G392" i="6"/>
  <c r="C392" i="6"/>
  <c r="G386" i="6"/>
  <c r="C386" i="6"/>
  <c r="G385" i="6"/>
  <c r="C385" i="6"/>
  <c r="I384" i="6"/>
  <c r="G384" i="6"/>
  <c r="C384" i="6"/>
  <c r="G383" i="6"/>
  <c r="C383" i="6"/>
  <c r="G382" i="6"/>
  <c r="C382" i="6"/>
  <c r="L381" i="6"/>
  <c r="G381" i="6"/>
  <c r="C381" i="6"/>
  <c r="G375" i="6"/>
  <c r="C375" i="6"/>
  <c r="G374" i="6"/>
  <c r="C374" i="6"/>
  <c r="I373" i="6"/>
  <c r="G373" i="6"/>
  <c r="C373" i="6"/>
  <c r="G372" i="6"/>
  <c r="C372" i="6"/>
  <c r="I371" i="6"/>
  <c r="G371" i="6"/>
  <c r="C371" i="6"/>
  <c r="L370" i="6"/>
  <c r="G370" i="6"/>
  <c r="C370" i="6"/>
  <c r="G364" i="6"/>
  <c r="C364" i="6"/>
  <c r="G363" i="6"/>
  <c r="C363" i="6"/>
  <c r="G362" i="6"/>
  <c r="C362" i="6"/>
  <c r="I361" i="6"/>
  <c r="G361" i="6"/>
  <c r="C361" i="6"/>
  <c r="L360" i="6"/>
  <c r="G360" i="6"/>
  <c r="C360" i="6"/>
  <c r="G354" i="6"/>
  <c r="C354" i="6"/>
  <c r="G353" i="6"/>
  <c r="C353" i="6"/>
  <c r="G352" i="6"/>
  <c r="C352" i="6"/>
  <c r="G351" i="6"/>
  <c r="C351" i="6"/>
  <c r="I350" i="6"/>
  <c r="G350" i="6"/>
  <c r="C350" i="6"/>
  <c r="G349" i="6"/>
  <c r="C349" i="6"/>
  <c r="G348" i="6"/>
  <c r="C348" i="6"/>
  <c r="L347" i="6"/>
  <c r="G347" i="6"/>
  <c r="C347" i="6"/>
  <c r="G341" i="6"/>
  <c r="C341" i="6"/>
  <c r="G340" i="6"/>
  <c r="C340" i="6"/>
  <c r="G339" i="6"/>
  <c r="C339" i="6"/>
  <c r="I338" i="6"/>
  <c r="G338" i="6"/>
  <c r="C338" i="6"/>
  <c r="I337" i="6"/>
  <c r="G337" i="6"/>
  <c r="C337" i="6"/>
  <c r="I336" i="6"/>
  <c r="G336" i="6"/>
  <c r="C336" i="6"/>
  <c r="L335" i="6"/>
  <c r="G335" i="6"/>
  <c r="C335" i="6"/>
  <c r="G329" i="6"/>
  <c r="C329" i="6"/>
  <c r="G328" i="6"/>
  <c r="C328" i="6"/>
  <c r="G327" i="6"/>
  <c r="C327" i="6"/>
  <c r="G326" i="6"/>
  <c r="C326" i="6"/>
  <c r="I325" i="6"/>
  <c r="G325" i="6"/>
  <c r="C325" i="6"/>
  <c r="I324" i="6"/>
  <c r="G324" i="6"/>
  <c r="C324" i="6"/>
  <c r="I323" i="6"/>
  <c r="G323" i="6"/>
  <c r="C323" i="6"/>
  <c r="G322" i="6"/>
  <c r="C322" i="6"/>
  <c r="G316" i="6"/>
  <c r="C316" i="6"/>
  <c r="G315" i="6"/>
  <c r="C315" i="6"/>
  <c r="I314" i="6"/>
  <c r="G314" i="6"/>
  <c r="C314" i="6"/>
  <c r="I313" i="6"/>
  <c r="G313" i="6"/>
  <c r="C313" i="6"/>
  <c r="L312" i="6"/>
  <c r="G312" i="6"/>
  <c r="C312" i="6"/>
  <c r="G306" i="6"/>
  <c r="C306" i="6"/>
  <c r="G305" i="6"/>
  <c r="C305" i="6"/>
  <c r="G304" i="6"/>
  <c r="C304" i="6"/>
  <c r="G303" i="6"/>
  <c r="C303" i="6"/>
  <c r="L302" i="6"/>
  <c r="G302" i="6"/>
  <c r="C302" i="6"/>
  <c r="G296" i="6"/>
  <c r="C296" i="6"/>
  <c r="G295" i="6"/>
  <c r="C295" i="6"/>
  <c r="G294" i="6"/>
  <c r="C294" i="6"/>
  <c r="I293" i="6"/>
  <c r="G293" i="6"/>
  <c r="C293" i="6"/>
  <c r="G292" i="6"/>
  <c r="C292" i="6"/>
  <c r="G291" i="6"/>
  <c r="C291" i="6"/>
  <c r="I290" i="6"/>
  <c r="G290" i="6"/>
  <c r="C290" i="6"/>
  <c r="I289" i="6"/>
  <c r="G289" i="6"/>
  <c r="C289" i="6"/>
  <c r="L288" i="6"/>
  <c r="G288" i="6"/>
  <c r="C288" i="6"/>
  <c r="G282" i="6"/>
  <c r="C282" i="6"/>
  <c r="G281" i="6"/>
  <c r="C281" i="6"/>
  <c r="G280" i="6"/>
  <c r="C280" i="6"/>
  <c r="L279" i="6"/>
  <c r="G279" i="6"/>
  <c r="C279" i="6"/>
  <c r="G273" i="6"/>
  <c r="C273" i="6"/>
  <c r="G272" i="6"/>
  <c r="C272" i="6"/>
  <c r="G271" i="6"/>
  <c r="C271" i="6"/>
  <c r="G270" i="6"/>
  <c r="C270" i="6"/>
  <c r="I269" i="6"/>
  <c r="G269" i="6"/>
  <c r="C269" i="6"/>
  <c r="L268" i="6"/>
  <c r="G268" i="6"/>
  <c r="C268" i="6"/>
  <c r="G262" i="6"/>
  <c r="C262" i="6"/>
  <c r="G261" i="6"/>
  <c r="C261" i="6"/>
  <c r="G260" i="6"/>
  <c r="C260" i="6"/>
  <c r="L259" i="6"/>
  <c r="G259" i="6"/>
  <c r="C259" i="6"/>
  <c r="G253" i="6"/>
  <c r="C253" i="6"/>
  <c r="G252" i="6"/>
  <c r="C252" i="6"/>
  <c r="G251" i="6"/>
  <c r="C251" i="6"/>
  <c r="L250" i="6"/>
  <c r="G250" i="6"/>
  <c r="C250" i="6"/>
  <c r="G244" i="6"/>
  <c r="C244" i="6"/>
  <c r="G243" i="6"/>
  <c r="C243" i="6"/>
  <c r="G242" i="6"/>
  <c r="C242" i="6"/>
  <c r="G241" i="6"/>
  <c r="C241" i="6"/>
  <c r="G240" i="6"/>
  <c r="C240" i="6"/>
  <c r="I239" i="6"/>
  <c r="G239" i="6"/>
  <c r="C239" i="6"/>
  <c r="G238" i="6"/>
  <c r="C238" i="6"/>
  <c r="G232" i="6"/>
  <c r="C232" i="6"/>
  <c r="G231" i="6"/>
  <c r="C231" i="6"/>
  <c r="G230" i="6"/>
  <c r="C230" i="6"/>
  <c r="G229" i="6"/>
  <c r="C229" i="6"/>
  <c r="I228" i="6"/>
  <c r="G228" i="6"/>
  <c r="C228" i="6"/>
  <c r="G227" i="6"/>
  <c r="C227" i="6"/>
  <c r="G221" i="6"/>
  <c r="C221" i="6"/>
  <c r="G220" i="6"/>
  <c r="C220" i="6"/>
  <c r="G219" i="6"/>
  <c r="C219" i="6"/>
  <c r="G218" i="6"/>
  <c r="C218" i="6"/>
  <c r="G217" i="6"/>
  <c r="C217" i="6"/>
  <c r="I216" i="6"/>
  <c r="G216" i="6"/>
  <c r="C216" i="6"/>
  <c r="I215" i="6"/>
  <c r="G215" i="6"/>
  <c r="C215" i="6"/>
  <c r="G214" i="6"/>
  <c r="C214" i="6"/>
  <c r="I213" i="6"/>
  <c r="G213" i="6"/>
  <c r="C213" i="6"/>
  <c r="I212" i="6"/>
  <c r="G212" i="6"/>
  <c r="C212" i="6"/>
  <c r="L211" i="6"/>
  <c r="G211" i="6"/>
  <c r="C211" i="6"/>
  <c r="G205" i="6"/>
  <c r="C205" i="6"/>
  <c r="G204" i="6"/>
  <c r="C204" i="6"/>
  <c r="G203" i="6"/>
  <c r="C203" i="6"/>
  <c r="I202" i="6"/>
  <c r="G202" i="6"/>
  <c r="C202" i="6"/>
  <c r="I201" i="6"/>
  <c r="G201" i="6"/>
  <c r="C201" i="6"/>
  <c r="G200" i="6"/>
  <c r="C200" i="6"/>
  <c r="I199" i="6"/>
  <c r="G199" i="6"/>
  <c r="C199" i="6"/>
  <c r="I198" i="6"/>
  <c r="G198" i="6"/>
  <c r="C198" i="6"/>
  <c r="I197" i="6"/>
  <c r="G197" i="6"/>
  <c r="C197" i="6"/>
  <c r="G196" i="6"/>
  <c r="C196" i="6"/>
  <c r="I195" i="6"/>
  <c r="G195" i="6"/>
  <c r="C195" i="6"/>
  <c r="I194" i="6"/>
  <c r="G194" i="6"/>
  <c r="C194" i="6"/>
  <c r="G193" i="6"/>
  <c r="C193" i="6"/>
  <c r="G187" i="6"/>
  <c r="C187" i="6"/>
  <c r="G186" i="6"/>
  <c r="C186" i="6"/>
  <c r="I185" i="6"/>
  <c r="G185" i="6"/>
  <c r="C185" i="6"/>
  <c r="G184" i="6"/>
  <c r="C184" i="6"/>
  <c r="G178" i="6"/>
  <c r="C178" i="6"/>
  <c r="G177" i="6"/>
  <c r="C177" i="6"/>
  <c r="G176" i="6"/>
  <c r="C176" i="6"/>
  <c r="G175" i="6"/>
  <c r="C175" i="6"/>
  <c r="G174" i="6"/>
  <c r="C174" i="6"/>
  <c r="G173" i="6"/>
  <c r="C173" i="6"/>
  <c r="G172" i="6"/>
  <c r="C172" i="6"/>
  <c r="G171" i="6"/>
  <c r="C171" i="6"/>
  <c r="G170" i="6"/>
  <c r="C170" i="6"/>
  <c r="G169" i="6"/>
  <c r="C169" i="6"/>
  <c r="G168" i="6"/>
  <c r="C168" i="6"/>
  <c r="G167" i="6"/>
  <c r="C167" i="6"/>
  <c r="G166" i="6"/>
  <c r="C166" i="6"/>
  <c r="G165" i="6"/>
  <c r="C165" i="6"/>
  <c r="G164" i="6"/>
  <c r="C164" i="6"/>
  <c r="G163" i="6"/>
  <c r="C163" i="6"/>
  <c r="G162" i="6"/>
  <c r="C162" i="6"/>
  <c r="G161" i="6"/>
  <c r="C161" i="6"/>
  <c r="G160" i="6"/>
  <c r="C160" i="6"/>
  <c r="G159" i="6"/>
  <c r="C159" i="6"/>
  <c r="G158" i="6"/>
  <c r="C158" i="6"/>
  <c r="G157" i="6"/>
  <c r="C157" i="6"/>
  <c r="G156" i="6"/>
  <c r="C156" i="6"/>
  <c r="G155" i="6"/>
  <c r="C155" i="6"/>
  <c r="G154" i="6"/>
  <c r="C154" i="6"/>
  <c r="I153" i="6"/>
  <c r="G153" i="6"/>
  <c r="C153" i="6"/>
  <c r="L152" i="6"/>
  <c r="G152" i="6"/>
  <c r="C152" i="6"/>
  <c r="G146" i="6"/>
  <c r="C146" i="6"/>
  <c r="G145" i="6"/>
  <c r="C145" i="6"/>
  <c r="G144" i="6"/>
  <c r="C144" i="6"/>
  <c r="G143" i="6"/>
  <c r="C143" i="6"/>
  <c r="G142" i="6"/>
  <c r="C142" i="6"/>
  <c r="I141" i="6"/>
  <c r="G141" i="6"/>
  <c r="C141" i="6"/>
  <c r="L140" i="6"/>
  <c r="G140" i="6"/>
  <c r="C140" i="6"/>
  <c r="G134" i="6"/>
  <c r="C134" i="6"/>
  <c r="G133" i="6"/>
  <c r="C133" i="6"/>
  <c r="G132" i="6"/>
  <c r="C132" i="6"/>
  <c r="G131" i="6"/>
  <c r="C131" i="6"/>
  <c r="I130" i="6"/>
  <c r="G130" i="6"/>
  <c r="C130" i="6"/>
  <c r="I129" i="6"/>
  <c r="G129" i="6"/>
  <c r="C129" i="6"/>
  <c r="L128" i="6"/>
  <c r="G128" i="6"/>
  <c r="C128" i="6"/>
  <c r="I122" i="6"/>
  <c r="G122" i="6"/>
  <c r="C122" i="6"/>
  <c r="G121" i="6"/>
  <c r="C121" i="6"/>
  <c r="I120" i="6"/>
  <c r="G120" i="6"/>
  <c r="C120" i="6"/>
  <c r="G119" i="6"/>
  <c r="C119" i="6"/>
  <c r="G118" i="6"/>
  <c r="C118" i="6"/>
  <c r="L117" i="6"/>
  <c r="G117" i="6"/>
  <c r="C117" i="6"/>
  <c r="G111" i="6"/>
  <c r="C111" i="6"/>
  <c r="G110" i="6"/>
  <c r="C110" i="6"/>
  <c r="L109" i="6"/>
  <c r="G109" i="6"/>
  <c r="C109" i="6"/>
  <c r="G103" i="6"/>
  <c r="C103" i="6"/>
  <c r="I96" i="6"/>
  <c r="G96" i="6"/>
  <c r="C96" i="6"/>
  <c r="G89" i="6"/>
  <c r="C89" i="6"/>
  <c r="L88" i="6"/>
  <c r="G88" i="6"/>
  <c r="C88" i="6"/>
  <c r="G82" i="6"/>
  <c r="C82" i="6"/>
  <c r="G81" i="6"/>
  <c r="C81" i="6"/>
  <c r="G80" i="6"/>
  <c r="C80" i="6"/>
  <c r="G74" i="6"/>
  <c r="C74" i="6"/>
  <c r="G73" i="6"/>
  <c r="C73" i="6"/>
  <c r="G72" i="6"/>
  <c r="C72" i="6"/>
  <c r="G66" i="6"/>
  <c r="C66" i="6"/>
  <c r="G65" i="6"/>
  <c r="C65" i="6"/>
  <c r="G64" i="6"/>
  <c r="C64" i="6"/>
  <c r="G63" i="6"/>
  <c r="C63" i="6"/>
  <c r="G62" i="6"/>
  <c r="C62" i="6"/>
  <c r="G61" i="6"/>
  <c r="C61" i="6"/>
  <c r="G60" i="6"/>
  <c r="C60" i="6"/>
  <c r="G59" i="6"/>
  <c r="C59" i="6"/>
  <c r="G58" i="6"/>
  <c r="C58" i="6"/>
  <c r="G57" i="6"/>
  <c r="C57" i="6"/>
  <c r="G56" i="6"/>
  <c r="C56" i="6"/>
  <c r="G55" i="6"/>
  <c r="C55" i="6"/>
  <c r="G54" i="6"/>
  <c r="C54" i="6"/>
  <c r="L53" i="6"/>
  <c r="G53" i="6"/>
  <c r="C53" i="6"/>
  <c r="G47" i="6"/>
  <c r="C47" i="6"/>
  <c r="G46" i="6"/>
  <c r="C46" i="6"/>
  <c r="G45" i="6"/>
  <c r="C45" i="6"/>
  <c r="G44" i="6"/>
  <c r="C44" i="6"/>
  <c r="I43" i="6"/>
  <c r="G43" i="6"/>
  <c r="C43" i="6"/>
  <c r="G42" i="6"/>
  <c r="C42" i="6"/>
  <c r="G41" i="6"/>
  <c r="C41" i="6"/>
  <c r="I40" i="6"/>
  <c r="G40" i="6"/>
  <c r="C40" i="6"/>
  <c r="G39" i="6"/>
  <c r="C39" i="6"/>
  <c r="I38" i="6"/>
  <c r="G38" i="6"/>
  <c r="C38" i="6"/>
  <c r="G37" i="6"/>
  <c r="C37" i="6"/>
  <c r="G36" i="6"/>
  <c r="C36" i="6"/>
  <c r="I35" i="6"/>
  <c r="G35" i="6"/>
  <c r="C35" i="6"/>
  <c r="I34" i="6"/>
  <c r="G34" i="6"/>
  <c r="C34" i="6"/>
  <c r="I33" i="6"/>
  <c r="G33" i="6"/>
  <c r="C33" i="6"/>
  <c r="G32" i="6"/>
  <c r="C32" i="6"/>
  <c r="I31" i="6"/>
  <c r="G31" i="6"/>
  <c r="C31" i="6"/>
  <c r="G30" i="6"/>
  <c r="C30" i="6"/>
  <c r="G29" i="6"/>
  <c r="C29" i="6"/>
  <c r="I23" i="6"/>
  <c r="G23" i="6"/>
  <c r="C23" i="6"/>
  <c r="I22" i="6"/>
  <c r="G22" i="6"/>
  <c r="C22" i="6"/>
  <c r="I21" i="6"/>
  <c r="G21" i="6"/>
  <c r="C21" i="6"/>
  <c r="I20" i="6"/>
  <c r="G20" i="6"/>
  <c r="C20" i="6"/>
  <c r="G19" i="6"/>
  <c r="C19" i="6"/>
  <c r="G18" i="6"/>
  <c r="C18" i="6"/>
  <c r="G17" i="6"/>
  <c r="C17" i="6"/>
  <c r="G10" i="6"/>
  <c r="C10" i="6"/>
  <c r="G9" i="6"/>
  <c r="C9" i="6"/>
  <c r="G8" i="6"/>
  <c r="C8" i="6"/>
  <c r="B5" i="6"/>
  <c r="A2" i="6"/>
  <c r="A1" i="6"/>
  <c r="B5" i="5"/>
  <c r="A2" i="5"/>
  <c r="B61" i="4" s="1"/>
  <c r="A1" i="5"/>
  <c r="B88" i="4" s="1"/>
  <c r="B85" i="4"/>
  <c r="B34" i="4"/>
  <c r="B19" i="4"/>
  <c r="B11" i="4"/>
  <c r="B5" i="4"/>
  <c r="A2" i="4"/>
  <c r="A1" i="4"/>
  <c r="B5" i="3"/>
  <c r="A2" i="3"/>
  <c r="A1" i="3"/>
  <c r="B5" i="2"/>
  <c r="A2" i="2"/>
  <c r="A1" i="2"/>
  <c r="J43" i="14"/>
  <c r="I43" i="14"/>
  <c r="J41" i="14"/>
  <c r="I41" i="14"/>
  <c r="H41" i="14"/>
  <c r="G41" i="14"/>
  <c r="J37" i="14"/>
  <c r="I37" i="14"/>
  <c r="H37" i="14"/>
  <c r="G37" i="14"/>
  <c r="J30" i="14"/>
  <c r="I30" i="14"/>
  <c r="H30" i="14"/>
  <c r="G30" i="14"/>
  <c r="J18" i="14"/>
  <c r="I18" i="14"/>
  <c r="H18" i="14"/>
  <c r="G18" i="14"/>
  <c r="G43" i="14" s="1"/>
  <c r="H5" i="1" s="1"/>
  <c r="I5" i="17" s="1"/>
  <c r="J15" i="13"/>
  <c r="J12" i="13" s="1"/>
  <c r="J17" i="13" s="1"/>
  <c r="K5" i="1" s="1"/>
  <c r="N5" i="17" s="1"/>
  <c r="C15" i="13"/>
  <c r="J190" i="10"/>
  <c r="J191" i="10" s="1"/>
  <c r="I189" i="10" s="1"/>
  <c r="M189" i="10" s="1"/>
  <c r="J103" i="10"/>
  <c r="J104" i="10" s="1"/>
  <c r="I102" i="10" s="1"/>
  <c r="J72" i="10"/>
  <c r="J67" i="10"/>
  <c r="J31" i="10"/>
  <c r="J24" i="10"/>
  <c r="J21" i="10"/>
  <c r="J455" i="9"/>
  <c r="J453" i="9"/>
  <c r="J443" i="9"/>
  <c r="J444" i="9" s="1"/>
  <c r="I830" i="8" s="1"/>
  <c r="J830" i="8" s="1"/>
  <c r="J417" i="9"/>
  <c r="J391" i="9"/>
  <c r="J392" i="9" s="1"/>
  <c r="I608" i="8" s="1"/>
  <c r="J608" i="8" s="1"/>
  <c r="J290" i="9"/>
  <c r="J288" i="9"/>
  <c r="J286" i="9"/>
  <c r="J275" i="9"/>
  <c r="J235" i="9"/>
  <c r="J196" i="9"/>
  <c r="J177" i="9"/>
  <c r="J170" i="9"/>
  <c r="J164" i="9"/>
  <c r="J162" i="9"/>
  <c r="J152" i="9"/>
  <c r="J148" i="9"/>
  <c r="J110" i="9"/>
  <c r="J106" i="9"/>
  <c r="J105" i="9"/>
  <c r="J104" i="9"/>
  <c r="J101" i="9"/>
  <c r="J760" i="8"/>
  <c r="J320" i="8"/>
  <c r="J1368" i="7"/>
  <c r="J1242" i="7"/>
  <c r="J1027" i="7"/>
  <c r="J853" i="7"/>
  <c r="H789" i="6"/>
  <c r="H788" i="6"/>
  <c r="H787" i="6"/>
  <c r="H786" i="6"/>
  <c r="H779" i="6"/>
  <c r="H772" i="6"/>
  <c r="H771" i="6"/>
  <c r="H770" i="6"/>
  <c r="H763" i="6"/>
  <c r="H762" i="6"/>
  <c r="H755" i="6"/>
  <c r="H754" i="6"/>
  <c r="H753" i="6"/>
  <c r="H752" i="6"/>
  <c r="H751" i="6"/>
  <c r="H750" i="6"/>
  <c r="H743" i="6"/>
  <c r="H742" i="6"/>
  <c r="H735" i="6"/>
  <c r="H734" i="6"/>
  <c r="H727" i="6"/>
  <c r="H726" i="6"/>
  <c r="H719" i="6"/>
  <c r="H718" i="6"/>
  <c r="H717" i="6"/>
  <c r="H716" i="6"/>
  <c r="H715" i="6"/>
  <c r="H708" i="6"/>
  <c r="H707" i="6"/>
  <c r="H706" i="6"/>
  <c r="H705" i="6"/>
  <c r="H698" i="6"/>
  <c r="H697" i="6"/>
  <c r="H696" i="6"/>
  <c r="H695" i="6"/>
  <c r="H688" i="6"/>
  <c r="H687" i="6"/>
  <c r="H686" i="6"/>
  <c r="H685" i="6"/>
  <c r="H678" i="6"/>
  <c r="H677" i="6"/>
  <c r="H676" i="6"/>
  <c r="H675" i="6"/>
  <c r="H668" i="6"/>
  <c r="H667" i="6"/>
  <c r="H666" i="6"/>
  <c r="H659" i="6"/>
  <c r="H658" i="6"/>
  <c r="H657" i="6"/>
  <c r="H650" i="6"/>
  <c r="H649" i="6"/>
  <c r="H648" i="6"/>
  <c r="H647" i="6"/>
  <c r="H640" i="6"/>
  <c r="H639" i="6"/>
  <c r="H638" i="6"/>
  <c r="H637" i="6"/>
  <c r="H630" i="6"/>
  <c r="H629" i="6"/>
  <c r="H628" i="6"/>
  <c r="H627" i="6"/>
  <c r="H626" i="6"/>
  <c r="H619" i="6"/>
  <c r="H618" i="6"/>
  <c r="H617" i="6"/>
  <c r="H616" i="6"/>
  <c r="H615" i="6"/>
  <c r="H614" i="6"/>
  <c r="H607" i="6"/>
  <c r="H606" i="6"/>
  <c r="H605" i="6"/>
  <c r="H604" i="6"/>
  <c r="H603" i="6"/>
  <c r="H602" i="6"/>
  <c r="H601" i="6"/>
  <c r="H600" i="6"/>
  <c r="H599" i="6"/>
  <c r="H598" i="6"/>
  <c r="H597" i="6"/>
  <c r="H596" i="6"/>
  <c r="H595" i="6"/>
  <c r="H594" i="6"/>
  <c r="H587" i="6"/>
  <c r="H586" i="6"/>
  <c r="H585" i="6"/>
  <c r="H584" i="6"/>
  <c r="H583" i="6"/>
  <c r="H582" i="6"/>
  <c r="H575" i="6"/>
  <c r="H574" i="6"/>
  <c r="H573" i="6"/>
  <c r="H572" i="6"/>
  <c r="H571" i="6"/>
  <c r="H570" i="6"/>
  <c r="H569" i="6"/>
  <c r="H568" i="6"/>
  <c r="H567" i="6"/>
  <c r="H566" i="6"/>
  <c r="H565" i="6"/>
  <c r="H564" i="6"/>
  <c r="H557" i="6"/>
  <c r="H556" i="6"/>
  <c r="H555" i="6"/>
  <c r="H554" i="6"/>
  <c r="H553" i="6"/>
  <c r="H552" i="6"/>
  <c r="H551" i="6"/>
  <c r="H550" i="6"/>
  <c r="H549" i="6"/>
  <c r="H548" i="6"/>
  <c r="H547" i="6"/>
  <c r="H546" i="6"/>
  <c r="H545" i="6"/>
  <c r="H544" i="6"/>
  <c r="H543" i="6"/>
  <c r="H542" i="6"/>
  <c r="H541" i="6"/>
  <c r="H540" i="6"/>
  <c r="H539" i="6"/>
  <c r="H532" i="6"/>
  <c r="H531" i="6"/>
  <c r="H530" i="6"/>
  <c r="H529" i="6"/>
  <c r="H528" i="6"/>
  <c r="H527" i="6"/>
  <c r="H526" i="6"/>
  <c r="H525" i="6"/>
  <c r="H524" i="6"/>
  <c r="H517" i="6"/>
  <c r="H516" i="6"/>
  <c r="H515" i="6"/>
  <c r="H508" i="6"/>
  <c r="H507" i="6"/>
  <c r="H506" i="6"/>
  <c r="H505" i="6"/>
  <c r="H504" i="6"/>
  <c r="H503" i="6"/>
  <c r="H502" i="6"/>
  <c r="H495" i="6"/>
  <c r="H494" i="6"/>
  <c r="H493" i="6"/>
  <c r="H492" i="6"/>
  <c r="H491" i="6"/>
  <c r="H490" i="6"/>
  <c r="H489" i="6"/>
  <c r="H488" i="6"/>
  <c r="H487" i="6"/>
  <c r="H480" i="6"/>
  <c r="H479" i="6"/>
  <c r="H478" i="6"/>
  <c r="H477" i="6"/>
  <c r="H476" i="6"/>
  <c r="H475" i="6"/>
  <c r="H474" i="6"/>
  <c r="H473" i="6"/>
  <c r="H472" i="6"/>
  <c r="H471" i="6"/>
  <c r="H470" i="6"/>
  <c r="H469" i="6"/>
  <c r="H468" i="6"/>
  <c r="H467" i="6"/>
  <c r="H466" i="6"/>
  <c r="H465" i="6"/>
  <c r="H464" i="6"/>
  <c r="H463" i="6"/>
  <c r="H462" i="6"/>
  <c r="H461" i="6"/>
  <c r="H460" i="6"/>
  <c r="H459" i="6"/>
  <c r="H458" i="6"/>
  <c r="H457" i="6"/>
  <c r="H456" i="6"/>
  <c r="H449" i="6"/>
  <c r="H448" i="6"/>
  <c r="H447" i="6"/>
  <c r="H446" i="6"/>
  <c r="H445" i="6"/>
  <c r="H444" i="6"/>
  <c r="H443" i="6"/>
  <c r="H442" i="6"/>
  <c r="H435" i="6"/>
  <c r="H434" i="6"/>
  <c r="H433" i="6"/>
  <c r="H432" i="6"/>
  <c r="H431" i="6"/>
  <c r="H430" i="6"/>
  <c r="H423" i="6"/>
  <c r="H422" i="6"/>
  <c r="H421" i="6"/>
  <c r="H420" i="6"/>
  <c r="H413" i="6"/>
  <c r="H412" i="6"/>
  <c r="H411" i="6"/>
  <c r="H404" i="6"/>
  <c r="H403" i="6"/>
  <c r="H402" i="6"/>
  <c r="H395" i="6"/>
  <c r="H394" i="6"/>
  <c r="H393" i="6"/>
  <c r="H386" i="6"/>
  <c r="H385" i="6"/>
  <c r="H384" i="6"/>
  <c r="H383" i="6"/>
  <c r="H382" i="6"/>
  <c r="H375" i="6"/>
  <c r="H374" i="6"/>
  <c r="H373" i="6"/>
  <c r="H372" i="6"/>
  <c r="H371" i="6"/>
  <c r="H364" i="6"/>
  <c r="H363" i="6"/>
  <c r="H362" i="6"/>
  <c r="H361" i="6"/>
  <c r="H354" i="6"/>
  <c r="H353" i="6"/>
  <c r="H352" i="6"/>
  <c r="H351" i="6"/>
  <c r="H350" i="6"/>
  <c r="H349" i="6"/>
  <c r="H348" i="6"/>
  <c r="H341" i="6"/>
  <c r="H340" i="6"/>
  <c r="H339" i="6"/>
  <c r="H338" i="6"/>
  <c r="H337" i="6"/>
  <c r="H336" i="6"/>
  <c r="H329" i="6"/>
  <c r="H328" i="6"/>
  <c r="H327" i="6"/>
  <c r="H326" i="6"/>
  <c r="H325" i="6"/>
  <c r="H324" i="6"/>
  <c r="H323" i="6"/>
  <c r="H316" i="6"/>
  <c r="H315" i="6"/>
  <c r="H314" i="6"/>
  <c r="H313" i="6"/>
  <c r="H306" i="6"/>
  <c r="H305" i="6"/>
  <c r="H304" i="6"/>
  <c r="H303" i="6"/>
  <c r="H296" i="6"/>
  <c r="H295" i="6"/>
  <c r="H294" i="6"/>
  <c r="H293" i="6"/>
  <c r="H292" i="6"/>
  <c r="H291" i="6"/>
  <c r="H290" i="6"/>
  <c r="H289" i="6"/>
  <c r="H282" i="6"/>
  <c r="H281" i="6"/>
  <c r="H280" i="6"/>
  <c r="H273" i="6"/>
  <c r="H272" i="6"/>
  <c r="H271" i="6"/>
  <c r="H270" i="6"/>
  <c r="H269" i="6"/>
  <c r="H262" i="6"/>
  <c r="H261" i="6"/>
  <c r="H260" i="6"/>
  <c r="H253" i="6"/>
  <c r="H252" i="6"/>
  <c r="H251" i="6"/>
  <c r="H244" i="6"/>
  <c r="H243" i="6"/>
  <c r="H242" i="6"/>
  <c r="H241" i="6"/>
  <c r="H240" i="6"/>
  <c r="H239" i="6"/>
  <c r="H232" i="6"/>
  <c r="H231" i="6"/>
  <c r="H230" i="6"/>
  <c r="H229" i="6"/>
  <c r="H228" i="6"/>
  <c r="H221" i="6"/>
  <c r="H220" i="6"/>
  <c r="H219" i="6"/>
  <c r="H218" i="6"/>
  <c r="H217" i="6"/>
  <c r="H216" i="6"/>
  <c r="H215" i="6"/>
  <c r="H214" i="6"/>
  <c r="H213" i="6"/>
  <c r="H212" i="6"/>
  <c r="H205" i="6"/>
  <c r="H204" i="6"/>
  <c r="H203" i="6"/>
  <c r="H202" i="6"/>
  <c r="H201" i="6"/>
  <c r="H200" i="6"/>
  <c r="H199" i="6"/>
  <c r="H198" i="6"/>
  <c r="H197" i="6"/>
  <c r="H196" i="6"/>
  <c r="H195" i="6"/>
  <c r="H194" i="6"/>
  <c r="H187" i="6"/>
  <c r="H186" i="6"/>
  <c r="H185"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46" i="6"/>
  <c r="H145" i="6"/>
  <c r="H144" i="6"/>
  <c r="H143" i="6"/>
  <c r="H142" i="6"/>
  <c r="H141" i="6"/>
  <c r="H134" i="6"/>
  <c r="H133" i="6"/>
  <c r="H132" i="6"/>
  <c r="H131" i="6"/>
  <c r="H130" i="6"/>
  <c r="H129" i="6"/>
  <c r="H122" i="6"/>
  <c r="H121" i="6"/>
  <c r="H120" i="6"/>
  <c r="H119" i="6"/>
  <c r="H118" i="6"/>
  <c r="H111" i="6"/>
  <c r="H110" i="6"/>
  <c r="H103" i="6"/>
  <c r="H96" i="6"/>
  <c r="H89" i="6"/>
  <c r="H82" i="6"/>
  <c r="H81" i="6"/>
  <c r="H74" i="6"/>
  <c r="H73" i="6"/>
  <c r="H66" i="6"/>
  <c r="H65" i="6"/>
  <c r="H64" i="6"/>
  <c r="H63" i="6"/>
  <c r="H62" i="6"/>
  <c r="H61" i="6"/>
  <c r="H60" i="6"/>
  <c r="H59" i="6"/>
  <c r="H58" i="6"/>
  <c r="H57" i="6"/>
  <c r="H56" i="6"/>
  <c r="H55" i="6"/>
  <c r="H54" i="6"/>
  <c r="H47" i="6"/>
  <c r="H46" i="6"/>
  <c r="H45" i="6"/>
  <c r="H44" i="6"/>
  <c r="H43" i="6"/>
  <c r="H42" i="6"/>
  <c r="H41" i="6"/>
  <c r="H40" i="6"/>
  <c r="H39" i="6"/>
  <c r="H38" i="6"/>
  <c r="H37" i="6"/>
  <c r="H36" i="6"/>
  <c r="H35" i="6"/>
  <c r="H34" i="6"/>
  <c r="H33" i="6"/>
  <c r="H32" i="6"/>
  <c r="H31" i="6"/>
  <c r="H30" i="6"/>
  <c r="H23" i="6"/>
  <c r="H22" i="6"/>
  <c r="H21" i="6"/>
  <c r="H20" i="6"/>
  <c r="H19" i="6"/>
  <c r="H18" i="6"/>
  <c r="H17" i="6"/>
  <c r="H10" i="6"/>
  <c r="H9" i="6"/>
  <c r="H8" i="6"/>
  <c r="O244" i="5"/>
  <c r="N244" i="5"/>
  <c r="P243" i="5"/>
  <c r="M241" i="5"/>
  <c r="N241" i="5" s="1"/>
  <c r="O241" i="5" s="1"/>
  <c r="P240" i="5" s="1"/>
  <c r="N237" i="5"/>
  <c r="O237" i="5" s="1"/>
  <c r="P236" i="5" s="1"/>
  <c r="N234" i="5"/>
  <c r="O234" i="5" s="1"/>
  <c r="M234" i="5"/>
  <c r="N233" i="5"/>
  <c r="O233" i="5" s="1"/>
  <c r="M233" i="5"/>
  <c r="N232" i="5"/>
  <c r="O232" i="5" s="1"/>
  <c r="P231" i="5" s="1"/>
  <c r="M232" i="5"/>
  <c r="M228" i="5"/>
  <c r="N228" i="5" s="1"/>
  <c r="O228" i="5" s="1"/>
  <c r="P227" i="5" s="1"/>
  <c r="M225" i="5"/>
  <c r="N225" i="5" s="1"/>
  <c r="O225" i="5" s="1"/>
  <c r="P224" i="5" s="1"/>
  <c r="N222" i="5"/>
  <c r="O222" i="5" s="1"/>
  <c r="P221" i="5" s="1"/>
  <c r="M222" i="5"/>
  <c r="O219" i="5"/>
  <c r="P218" i="5" s="1"/>
  <c r="M219" i="5"/>
  <c r="N219" i="5" s="1"/>
  <c r="M216" i="5"/>
  <c r="N216" i="5" s="1"/>
  <c r="O216" i="5" s="1"/>
  <c r="P215" i="5" s="1"/>
  <c r="N213" i="5"/>
  <c r="O213" i="5" s="1"/>
  <c r="P212" i="5" s="1"/>
  <c r="M213" i="5"/>
  <c r="M210" i="5"/>
  <c r="N210" i="5" s="1"/>
  <c r="O210" i="5" s="1"/>
  <c r="P209" i="5" s="1"/>
  <c r="M207" i="5"/>
  <c r="N207" i="5" s="1"/>
  <c r="O207" i="5" s="1"/>
  <c r="P206" i="5" s="1"/>
  <c r="N204" i="5"/>
  <c r="O204" i="5" s="1"/>
  <c r="P203" i="5" s="1"/>
  <c r="M204" i="5"/>
  <c r="M201" i="5"/>
  <c r="N201" i="5" s="1"/>
  <c r="O201" i="5" s="1"/>
  <c r="P200" i="5" s="1"/>
  <c r="M198" i="5"/>
  <c r="N198" i="5" s="1"/>
  <c r="O198" i="5" s="1"/>
  <c r="P197" i="5" s="1"/>
  <c r="N195" i="5"/>
  <c r="O195" i="5" s="1"/>
  <c r="P194" i="5" s="1"/>
  <c r="M195" i="5"/>
  <c r="O192" i="5"/>
  <c r="P191" i="5" s="1"/>
  <c r="H83" i="4" s="1"/>
  <c r="M192" i="5"/>
  <c r="N192" i="5" s="1"/>
  <c r="M189" i="5"/>
  <c r="N189" i="5" s="1"/>
  <c r="O189" i="5" s="1"/>
  <c r="P188" i="5" s="1"/>
  <c r="N185" i="5"/>
  <c r="O185" i="5" s="1"/>
  <c r="P184" i="5" s="1"/>
  <c r="M185" i="5"/>
  <c r="O182" i="5"/>
  <c r="P181" i="5" s="1"/>
  <c r="M182" i="5"/>
  <c r="N182" i="5" s="1"/>
  <c r="M179" i="5"/>
  <c r="N179" i="5" s="1"/>
  <c r="O179" i="5" s="1"/>
  <c r="P178" i="5" s="1"/>
  <c r="N175" i="5"/>
  <c r="O175" i="5" s="1"/>
  <c r="P174" i="5" s="1"/>
  <c r="M175" i="5"/>
  <c r="M172" i="5"/>
  <c r="N172" i="5" s="1"/>
  <c r="O172" i="5" s="1"/>
  <c r="P171" i="5" s="1"/>
  <c r="M169" i="5"/>
  <c r="N169" i="5" s="1"/>
  <c r="O169" i="5" s="1"/>
  <c r="P168" i="5" s="1"/>
  <c r="N166" i="5"/>
  <c r="O166" i="5" s="1"/>
  <c r="P165" i="5" s="1"/>
  <c r="M166" i="5"/>
  <c r="O163" i="5"/>
  <c r="P162" i="5" s="1"/>
  <c r="M163" i="5"/>
  <c r="N163" i="5" s="1"/>
  <c r="M160" i="5"/>
  <c r="N160" i="5" s="1"/>
  <c r="O160" i="5" s="1"/>
  <c r="P159" i="5" s="1"/>
  <c r="N156" i="5"/>
  <c r="O156" i="5" s="1"/>
  <c r="P155" i="5" s="1"/>
  <c r="M156" i="5"/>
  <c r="M153" i="5"/>
  <c r="N153" i="5" s="1"/>
  <c r="O153" i="5" s="1"/>
  <c r="P152" i="5" s="1"/>
  <c r="M150" i="5"/>
  <c r="N150" i="5" s="1"/>
  <c r="O150" i="5" s="1"/>
  <c r="P149" i="5" s="1"/>
  <c r="N146" i="5"/>
  <c r="O146" i="5" s="1"/>
  <c r="P144" i="5" s="1"/>
  <c r="O145" i="5"/>
  <c r="N145" i="5"/>
  <c r="N142" i="5"/>
  <c r="O142" i="5" s="1"/>
  <c r="P141" i="5" s="1"/>
  <c r="O139" i="5"/>
  <c r="N139" i="5"/>
  <c r="P138" i="5"/>
  <c r="M135" i="5"/>
  <c r="N135" i="5" s="1"/>
  <c r="O135" i="5" s="1"/>
  <c r="P134" i="5" s="1"/>
  <c r="N132" i="5"/>
  <c r="O132" i="5" s="1"/>
  <c r="P131" i="5" s="1"/>
  <c r="N129" i="5"/>
  <c r="O129" i="5" s="1"/>
  <c r="P128" i="5" s="1"/>
  <c r="M129" i="5"/>
  <c r="O126" i="5"/>
  <c r="P124" i="5" s="1"/>
  <c r="M126" i="5"/>
  <c r="N126" i="5" s="1"/>
  <c r="O125" i="5"/>
  <c r="N125" i="5"/>
  <c r="M125" i="5"/>
  <c r="M122" i="5"/>
  <c r="N122" i="5" s="1"/>
  <c r="O122" i="5" s="1"/>
  <c r="P121" i="5" s="1"/>
  <c r="N119" i="5"/>
  <c r="O119" i="5" s="1"/>
  <c r="M119" i="5"/>
  <c r="N118" i="5"/>
  <c r="O118" i="5" s="1"/>
  <c r="P117" i="5" s="1"/>
  <c r="M118" i="5"/>
  <c r="M115" i="5"/>
  <c r="N115" i="5" s="1"/>
  <c r="O115" i="5" s="1"/>
  <c r="P114" i="5" s="1"/>
  <c r="H50" i="4" s="1"/>
  <c r="O111" i="5"/>
  <c r="N111" i="5"/>
  <c r="O110" i="5"/>
  <c r="P109" i="5" s="1"/>
  <c r="N110" i="5"/>
  <c r="O106" i="5"/>
  <c r="N106" i="5"/>
  <c r="M106" i="5"/>
  <c r="P105" i="5"/>
  <c r="M103" i="5"/>
  <c r="N103" i="5" s="1"/>
  <c r="O103" i="5" s="1"/>
  <c r="M102" i="5"/>
  <c r="N102" i="5" s="1"/>
  <c r="O102" i="5" s="1"/>
  <c r="P101" i="5" s="1"/>
  <c r="N99" i="5"/>
  <c r="O99" i="5" s="1"/>
  <c r="P98" i="5" s="1"/>
  <c r="N96" i="5"/>
  <c r="O96" i="5" s="1"/>
  <c r="N95" i="5"/>
  <c r="O95" i="5" s="1"/>
  <c r="O94" i="5"/>
  <c r="N94" i="5"/>
  <c r="O91" i="5"/>
  <c r="P89" i="5" s="1"/>
  <c r="M91" i="5"/>
  <c r="N91" i="5" s="1"/>
  <c r="O90" i="5"/>
  <c r="N90" i="5"/>
  <c r="M90" i="5"/>
  <c r="M87" i="5"/>
  <c r="N87" i="5" s="1"/>
  <c r="O87" i="5" s="1"/>
  <c r="P86" i="5" s="1"/>
  <c r="N84" i="5"/>
  <c r="O84" i="5" s="1"/>
  <c r="P83" i="5" s="1"/>
  <c r="M84" i="5"/>
  <c r="O81" i="5"/>
  <c r="N81" i="5"/>
  <c r="M81" i="5"/>
  <c r="P80" i="5"/>
  <c r="M77" i="5"/>
  <c r="N77" i="5" s="1"/>
  <c r="O77" i="5" s="1"/>
  <c r="P76" i="5" s="1"/>
  <c r="N74" i="5"/>
  <c r="O74" i="5" s="1"/>
  <c r="P73" i="5" s="1"/>
  <c r="M74" i="5"/>
  <c r="O71" i="5"/>
  <c r="N71" i="5"/>
  <c r="M71" i="5"/>
  <c r="P70" i="5"/>
  <c r="M67" i="5"/>
  <c r="N67" i="5" s="1"/>
  <c r="O67" i="5" s="1"/>
  <c r="M66" i="5"/>
  <c r="N66" i="5" s="1"/>
  <c r="O66" i="5" s="1"/>
  <c r="N63" i="5"/>
  <c r="O63" i="5" s="1"/>
  <c r="M63" i="5"/>
  <c r="N62" i="5"/>
  <c r="O62" i="5" s="1"/>
  <c r="M62" i="5"/>
  <c r="N61" i="5"/>
  <c r="O61" i="5" s="1"/>
  <c r="P60" i="5" s="1"/>
  <c r="M61" i="5"/>
  <c r="M57" i="5"/>
  <c r="N57" i="5" s="1"/>
  <c r="O57" i="5" s="1"/>
  <c r="O56" i="5"/>
  <c r="N56" i="5"/>
  <c r="M56" i="5"/>
  <c r="O55" i="5"/>
  <c r="M55" i="5"/>
  <c r="N55" i="5" s="1"/>
  <c r="M52" i="5"/>
  <c r="N52" i="5" s="1"/>
  <c r="O52" i="5" s="1"/>
  <c r="P51" i="5" s="1"/>
  <c r="O49" i="5"/>
  <c r="M49" i="5"/>
  <c r="P48" i="5"/>
  <c r="N46" i="5"/>
  <c r="O46" i="5" s="1"/>
  <c r="M46" i="5"/>
  <c r="N45" i="5"/>
  <c r="O45" i="5" s="1"/>
  <c r="M45" i="5"/>
  <c r="N44" i="5"/>
  <c r="O44" i="5" s="1"/>
  <c r="M44" i="5"/>
  <c r="N43" i="5"/>
  <c r="O43" i="5" s="1"/>
  <c r="M43" i="5"/>
  <c r="N42" i="5"/>
  <c r="O42" i="5" s="1"/>
  <c r="M42" i="5"/>
  <c r="N41" i="5"/>
  <c r="O41" i="5" s="1"/>
  <c r="M41" i="5"/>
  <c r="O37" i="5"/>
  <c r="P36" i="5" s="1"/>
  <c r="N37" i="5"/>
  <c r="O34" i="5"/>
  <c r="P33" i="5" s="1"/>
  <c r="N34" i="5"/>
  <c r="M31" i="5"/>
  <c r="N31" i="5" s="1"/>
  <c r="O31" i="5" s="1"/>
  <c r="P30" i="5" s="1"/>
  <c r="M28" i="5"/>
  <c r="N28" i="5" s="1"/>
  <c r="O28" i="5" s="1"/>
  <c r="P27" i="5" s="1"/>
  <c r="N25" i="5"/>
  <c r="O25" i="5" s="1"/>
  <c r="P24" i="5" s="1"/>
  <c r="M25" i="5"/>
  <c r="O22" i="5"/>
  <c r="P21" i="5" s="1"/>
  <c r="N22" i="5"/>
  <c r="O19" i="5"/>
  <c r="N19" i="5"/>
  <c r="M19" i="5"/>
  <c r="P18" i="5"/>
  <c r="M16" i="5"/>
  <c r="N16" i="5" s="1"/>
  <c r="O16" i="5" s="1"/>
  <c r="P15" i="5" s="1"/>
  <c r="N13" i="5"/>
  <c r="O13" i="5" s="1"/>
  <c r="P12" i="5" s="1"/>
  <c r="M13" i="5"/>
  <c r="O9" i="5"/>
  <c r="N9" i="5"/>
  <c r="M9" i="5"/>
  <c r="P8" i="5"/>
  <c r="P22" i="3"/>
  <c r="P21" i="3"/>
  <c r="P20" i="3"/>
  <c r="P19" i="3"/>
  <c r="P18" i="3"/>
  <c r="P17" i="3"/>
  <c r="P16" i="3"/>
  <c r="P15" i="3"/>
  <c r="P14" i="3"/>
  <c r="P13" i="3"/>
  <c r="P12" i="3"/>
  <c r="P11" i="3"/>
  <c r="P10" i="3"/>
  <c r="P9" i="3"/>
  <c r="P8" i="3"/>
  <c r="I801" i="7" l="1"/>
  <c r="J801" i="7" s="1"/>
  <c r="I79" i="8"/>
  <c r="J79" i="8" s="1"/>
  <c r="I351" i="6"/>
  <c r="I39" i="8"/>
  <c r="J39" i="8" s="1"/>
  <c r="I131" i="6"/>
  <c r="I28" i="7"/>
  <c r="J28" i="7" s="1"/>
  <c r="I380" i="7"/>
  <c r="J380" i="7" s="1"/>
  <c r="I123" i="7"/>
  <c r="J123" i="7" s="1"/>
  <c r="I91" i="7"/>
  <c r="J91" i="7" s="1"/>
  <c r="I109" i="7"/>
  <c r="J109" i="7" s="1"/>
  <c r="L287" i="7"/>
  <c r="I369" i="7"/>
  <c r="J369" i="7" s="1"/>
  <c r="I701" i="7"/>
  <c r="J701" i="7" s="1"/>
  <c r="I757" i="7"/>
  <c r="J757" i="7" s="1"/>
  <c r="I809" i="7"/>
  <c r="J809" i="7" s="1"/>
  <c r="I717" i="8"/>
  <c r="J717" i="8" s="1"/>
  <c r="I271" i="6"/>
  <c r="I151" i="7"/>
  <c r="J151" i="7" s="1"/>
  <c r="I538" i="7"/>
  <c r="J538" i="7" s="1"/>
  <c r="I807" i="7"/>
  <c r="J807" i="7" s="1"/>
  <c r="I820" i="7"/>
  <c r="J820" i="7" s="1"/>
  <c r="L1069" i="7"/>
  <c r="I1383" i="7"/>
  <c r="J1383" i="7" s="1"/>
  <c r="I85" i="8"/>
  <c r="J85" i="8" s="1"/>
  <c r="I682" i="8"/>
  <c r="J682" i="8" s="1"/>
  <c r="I87" i="10"/>
  <c r="J87" i="10" s="1"/>
  <c r="I567" i="6"/>
  <c r="I117" i="7"/>
  <c r="J117" i="7" s="1"/>
  <c r="I346" i="7"/>
  <c r="J346" i="7" s="1"/>
  <c r="I692" i="7"/>
  <c r="J692" i="7" s="1"/>
  <c r="I741" i="7"/>
  <c r="J741" i="7" s="1"/>
  <c r="I760" i="7"/>
  <c r="J760" i="7" s="1"/>
  <c r="I762" i="7"/>
  <c r="J762" i="7" s="1"/>
  <c r="I77" i="8"/>
  <c r="J77" i="8" s="1"/>
  <c r="I705" i="8"/>
  <c r="J705" i="8" s="1"/>
  <c r="I757" i="8"/>
  <c r="J757" i="8" s="1"/>
  <c r="I270" i="6"/>
  <c r="J270" i="6" s="1"/>
  <c r="I115" i="7"/>
  <c r="J115" i="7" s="1"/>
  <c r="I137" i="7"/>
  <c r="J137" i="7" s="1"/>
  <c r="I750" i="7"/>
  <c r="J750" i="7" s="1"/>
  <c r="I1207" i="7"/>
  <c r="J1207" i="7" s="1"/>
  <c r="I58" i="9"/>
  <c r="J58" i="9" s="1"/>
  <c r="I95" i="7"/>
  <c r="J95" i="7" s="1"/>
  <c r="I126" i="7"/>
  <c r="J126" i="7" s="1"/>
  <c r="I131" i="7"/>
  <c r="J131" i="7" s="1"/>
  <c r="I135" i="7"/>
  <c r="J135" i="7" s="1"/>
  <c r="I146" i="7"/>
  <c r="J146" i="7" s="1"/>
  <c r="I148" i="7"/>
  <c r="J148" i="7" s="1"/>
  <c r="I748" i="7"/>
  <c r="J748" i="7" s="1"/>
  <c r="I765" i="7"/>
  <c r="J765" i="7" s="1"/>
  <c r="I817" i="7"/>
  <c r="J817" i="7" s="1"/>
  <c r="I176" i="9"/>
  <c r="J176" i="9" s="1"/>
  <c r="I116" i="7"/>
  <c r="J116" i="7" s="1"/>
  <c r="I818" i="7"/>
  <c r="J818" i="7" s="1"/>
  <c r="I149" i="7"/>
  <c r="J149" i="7" s="1"/>
  <c r="I134" i="8"/>
  <c r="J134" i="8" s="1"/>
  <c r="I194" i="8"/>
  <c r="J194" i="8" s="1"/>
  <c r="I781" i="7"/>
  <c r="J781" i="7" s="1"/>
  <c r="I808" i="7"/>
  <c r="J808" i="7" s="1"/>
  <c r="I22" i="10"/>
  <c r="J22" i="10" s="1"/>
  <c r="I75" i="10"/>
  <c r="J75" i="10" s="1"/>
  <c r="I95" i="10"/>
  <c r="J95" i="10" s="1"/>
  <c r="I56" i="9"/>
  <c r="J56" i="9" s="1"/>
  <c r="I89" i="10"/>
  <c r="J89" i="10" s="1"/>
  <c r="I64" i="9"/>
  <c r="J64" i="9" s="1"/>
  <c r="L348" i="9"/>
  <c r="I8" i="7"/>
  <c r="J8" i="7" s="1"/>
  <c r="I38" i="7"/>
  <c r="J38" i="7" s="1"/>
  <c r="I300" i="7"/>
  <c r="J300" i="7" s="1"/>
  <c r="I729" i="7"/>
  <c r="J729" i="7" s="1"/>
  <c r="I925" i="7"/>
  <c r="J925" i="7" s="1"/>
  <c r="I687" i="8"/>
  <c r="J687" i="8" s="1"/>
  <c r="I1337" i="7"/>
  <c r="J1337" i="7" s="1"/>
  <c r="I1354" i="7"/>
  <c r="J1354" i="7" s="1"/>
  <c r="L54" i="8"/>
  <c r="L70" i="8"/>
  <c r="I83" i="8"/>
  <c r="J83" i="8" s="1"/>
  <c r="I294" i="6"/>
  <c r="J294" i="6" s="1"/>
  <c r="I752" i="6"/>
  <c r="I121" i="7"/>
  <c r="J121" i="7" s="1"/>
  <c r="I136" i="7"/>
  <c r="J136" i="7" s="1"/>
  <c r="I138" i="7"/>
  <c r="J138" i="7" s="1"/>
  <c r="I144" i="7"/>
  <c r="J144" i="7" s="1"/>
  <c r="I670" i="7"/>
  <c r="J670" i="7" s="1"/>
  <c r="L780" i="7"/>
  <c r="I1061" i="7"/>
  <c r="J1061" i="7" s="1"/>
  <c r="I126" i="8"/>
  <c r="J126" i="8" s="1"/>
  <c r="I195" i="8"/>
  <c r="J195" i="8" s="1"/>
  <c r="I291" i="8"/>
  <c r="J291" i="8" s="1"/>
  <c r="I103" i="8"/>
  <c r="J103" i="8" s="1"/>
  <c r="I854" i="7"/>
  <c r="J854" i="7" s="1"/>
  <c r="I78" i="8"/>
  <c r="J78" i="8" s="1"/>
  <c r="I86" i="8"/>
  <c r="J86" i="8" s="1"/>
  <c r="L756" i="8"/>
  <c r="I847" i="8"/>
  <c r="J847" i="8" s="1"/>
  <c r="L338" i="9"/>
  <c r="I74" i="10"/>
  <c r="J74" i="10" s="1"/>
  <c r="I76" i="10"/>
  <c r="J76" i="10" s="1"/>
  <c r="M432" i="9"/>
  <c r="I459" i="9"/>
  <c r="J459" i="9" s="1"/>
  <c r="I23" i="10"/>
  <c r="J23" i="10" s="1"/>
  <c r="I42" i="6"/>
  <c r="J42" i="6" s="1"/>
  <c r="I410" i="7"/>
  <c r="J410" i="7" s="1"/>
  <c r="I428" i="7"/>
  <c r="J428" i="7" s="1"/>
  <c r="I446" i="7"/>
  <c r="J446" i="7" s="1"/>
  <c r="I464" i="7"/>
  <c r="J464" i="7" s="1"/>
  <c r="I490" i="7"/>
  <c r="J490" i="7" s="1"/>
  <c r="I549" i="7"/>
  <c r="J549" i="7" s="1"/>
  <c r="I567" i="7"/>
  <c r="J567" i="7" s="1"/>
  <c r="I591" i="7"/>
  <c r="J591" i="7" s="1"/>
  <c r="I723" i="7"/>
  <c r="J723" i="7" s="1"/>
  <c r="I1334" i="7"/>
  <c r="J1334" i="7" s="1"/>
  <c r="I1347" i="7"/>
  <c r="J1347" i="7" s="1"/>
  <c r="I28" i="8"/>
  <c r="J28" i="8" s="1"/>
  <c r="I120" i="8"/>
  <c r="J120" i="8" s="1"/>
  <c r="I187" i="8"/>
  <c r="J187" i="8" s="1"/>
  <c r="L426" i="8"/>
  <c r="I670" i="8"/>
  <c r="J670" i="8" s="1"/>
  <c r="I762" i="8"/>
  <c r="J762" i="8" s="1"/>
  <c r="I786" i="8"/>
  <c r="J786" i="8" s="1"/>
  <c r="I77" i="9"/>
  <c r="J77" i="9" s="1"/>
  <c r="I169" i="9"/>
  <c r="J169" i="9" s="1"/>
  <c r="I44" i="10"/>
  <c r="J44" i="10" s="1"/>
  <c r="C206" i="5"/>
  <c r="L108" i="7"/>
  <c r="I517" i="7"/>
  <c r="J517" i="7" s="1"/>
  <c r="I1275" i="7"/>
  <c r="J1275" i="7" s="1"/>
  <c r="I146" i="8"/>
  <c r="J146" i="8" s="1"/>
  <c r="I159" i="8"/>
  <c r="J159" i="8" s="1"/>
  <c r="I298" i="8"/>
  <c r="J298" i="8" s="1"/>
  <c r="I310" i="8"/>
  <c r="J310" i="8" s="1"/>
  <c r="J311" i="8" s="1"/>
  <c r="I315" i="7" s="1"/>
  <c r="J315" i="7" s="1"/>
  <c r="I321" i="8"/>
  <c r="J321" i="8" s="1"/>
  <c r="J323" i="8" s="1"/>
  <c r="I328" i="7" s="1"/>
  <c r="J328" i="7" s="1"/>
  <c r="I415" i="8"/>
  <c r="J415" i="8" s="1"/>
  <c r="I57" i="9"/>
  <c r="J57" i="9" s="1"/>
  <c r="I65" i="9"/>
  <c r="J65" i="9" s="1"/>
  <c r="I263" i="9"/>
  <c r="J263" i="9" s="1"/>
  <c r="J264" i="9" s="1"/>
  <c r="I273" i="9"/>
  <c r="J273" i="9" s="1"/>
  <c r="I328" i="9"/>
  <c r="J328" i="9" s="1"/>
  <c r="I360" i="9"/>
  <c r="J360" i="9" s="1"/>
  <c r="L7" i="10"/>
  <c r="I15" i="10"/>
  <c r="J15" i="10" s="1"/>
  <c r="I38" i="10"/>
  <c r="J38" i="10" s="1"/>
  <c r="L82" i="10"/>
  <c r="I119" i="10"/>
  <c r="J119" i="10" s="1"/>
  <c r="I97" i="9"/>
  <c r="J97" i="9" s="1"/>
  <c r="L175" i="9"/>
  <c r="I371" i="9"/>
  <c r="J371" i="9" s="1"/>
  <c r="J372" i="9" s="1"/>
  <c r="I585" i="8" s="1"/>
  <c r="J585" i="8" s="1"/>
  <c r="I376" i="9"/>
  <c r="J376" i="9" s="1"/>
  <c r="J377" i="9" s="1"/>
  <c r="I386" i="9"/>
  <c r="J386" i="9" s="1"/>
  <c r="J387" i="9" s="1"/>
  <c r="I596" i="8" s="1"/>
  <c r="J596" i="8" s="1"/>
  <c r="I416" i="9"/>
  <c r="J416" i="9" s="1"/>
  <c r="I64" i="10"/>
  <c r="J64" i="10" s="1"/>
  <c r="I96" i="10"/>
  <c r="J96" i="10" s="1"/>
  <c r="I372" i="6"/>
  <c r="J372" i="6" s="1"/>
  <c r="I383" i="6"/>
  <c r="I419" i="7"/>
  <c r="J419" i="7" s="1"/>
  <c r="I437" i="7"/>
  <c r="J437" i="7" s="1"/>
  <c r="I455" i="7"/>
  <c r="J455" i="7" s="1"/>
  <c r="I481" i="7"/>
  <c r="J481" i="7" s="1"/>
  <c r="I499" i="7"/>
  <c r="J499" i="7" s="1"/>
  <c r="I558" i="7"/>
  <c r="J558" i="7" s="1"/>
  <c r="I749" i="7"/>
  <c r="J749" i="7" s="1"/>
  <c r="I755" i="7"/>
  <c r="J755" i="7" s="1"/>
  <c r="I763" i="7"/>
  <c r="J763" i="7" s="1"/>
  <c r="I770" i="7"/>
  <c r="J770" i="7" s="1"/>
  <c r="I834" i="7"/>
  <c r="J834" i="7" s="1"/>
  <c r="I1325" i="7"/>
  <c r="J1325" i="7" s="1"/>
  <c r="I275" i="8"/>
  <c r="J275" i="8" s="1"/>
  <c r="J276" i="8" s="1"/>
  <c r="I273" i="8" s="1"/>
  <c r="M273" i="8" s="1"/>
  <c r="I446" i="8"/>
  <c r="J446" i="8" s="1"/>
  <c r="I716" i="8"/>
  <c r="J716" i="8" s="1"/>
  <c r="I718" i="8"/>
  <c r="J718" i="8" s="1"/>
  <c r="I770" i="8"/>
  <c r="J770" i="8" s="1"/>
  <c r="I85" i="9"/>
  <c r="J85" i="9" s="1"/>
  <c r="I109" i="9"/>
  <c r="J109" i="9" s="1"/>
  <c r="I20" i="10"/>
  <c r="J20" i="10" s="1"/>
  <c r="I52" i="10"/>
  <c r="J52" i="10" s="1"/>
  <c r="I88" i="10"/>
  <c r="J88" i="10" s="1"/>
  <c r="I526" i="7"/>
  <c r="J526" i="7" s="1"/>
  <c r="L1376" i="7"/>
  <c r="I41" i="8"/>
  <c r="J41" i="8" s="1"/>
  <c r="I184" i="8"/>
  <c r="J184" i="8" s="1"/>
  <c r="I694" i="8"/>
  <c r="J694" i="8" s="1"/>
  <c r="I706" i="8"/>
  <c r="J706" i="8" s="1"/>
  <c r="L102" i="10"/>
  <c r="M102" i="10" s="1"/>
  <c r="L107" i="10"/>
  <c r="J443" i="6"/>
  <c r="J449" i="6"/>
  <c r="J508" i="6"/>
  <c r="J567" i="6"/>
  <c r="J351" i="6"/>
  <c r="J686" i="6"/>
  <c r="C33" i="5"/>
  <c r="C18" i="4" s="1"/>
  <c r="C36" i="5"/>
  <c r="C19" i="4" s="1"/>
  <c r="J153" i="6"/>
  <c r="J194" i="6"/>
  <c r="J198" i="6"/>
  <c r="J200" i="6"/>
  <c r="J214" i="6"/>
  <c r="J216" i="6"/>
  <c r="J23" i="6"/>
  <c r="J657" i="6"/>
  <c r="J30" i="6"/>
  <c r="J32" i="6"/>
  <c r="J38" i="6"/>
  <c r="J89" i="6"/>
  <c r="J90" i="6" s="1"/>
  <c r="J103" i="6"/>
  <c r="J104" i="6" s="1"/>
  <c r="I102" i="6" s="1"/>
  <c r="J239" i="6"/>
  <c r="J269" i="6"/>
  <c r="J382" i="6"/>
  <c r="J411" i="6"/>
  <c r="J584" i="6"/>
  <c r="J696" i="6"/>
  <c r="J488" i="6"/>
  <c r="J626" i="6"/>
  <c r="G36" i="5"/>
  <c r="G19" i="4" s="1"/>
  <c r="G18" i="5"/>
  <c r="G13" i="4" s="1"/>
  <c r="G24" i="5"/>
  <c r="G15" i="4" s="1"/>
  <c r="C27" i="5"/>
  <c r="C16" i="4" s="1"/>
  <c r="C40" i="5"/>
  <c r="C22" i="4" s="1"/>
  <c r="J120" i="6"/>
  <c r="J131" i="6"/>
  <c r="J141" i="6"/>
  <c r="J185" i="6"/>
  <c r="G70" i="5"/>
  <c r="G32" i="4" s="1"/>
  <c r="C80" i="5"/>
  <c r="C37" i="4" s="1"/>
  <c r="C83" i="5"/>
  <c r="C89" i="5"/>
  <c r="C40" i="4" s="1"/>
  <c r="J289" i="6"/>
  <c r="J293" i="6"/>
  <c r="J295" i="6"/>
  <c r="G109" i="5"/>
  <c r="G47" i="4" s="1"/>
  <c r="J336" i="6"/>
  <c r="C131" i="5"/>
  <c r="C55" i="4" s="1"/>
  <c r="C141" i="5"/>
  <c r="C60" i="4" s="1"/>
  <c r="J421" i="6"/>
  <c r="G149" i="5"/>
  <c r="G64" i="4" s="1"/>
  <c r="J491" i="6"/>
  <c r="J493" i="6"/>
  <c r="C168" i="5"/>
  <c r="C72" i="4" s="1"/>
  <c r="C178" i="5"/>
  <c r="C77" i="4" s="1"/>
  <c r="J594" i="6"/>
  <c r="J596" i="6"/>
  <c r="J600" i="6"/>
  <c r="J602" i="6"/>
  <c r="J619" i="6"/>
  <c r="G188" i="5"/>
  <c r="G82" i="4" s="1"/>
  <c r="G197" i="5"/>
  <c r="G85" i="4" s="1"/>
  <c r="J675" i="6"/>
  <c r="J718" i="6"/>
  <c r="G231" i="5"/>
  <c r="G98" i="4" s="1"/>
  <c r="C236" i="5"/>
  <c r="C99" i="4" s="1"/>
  <c r="J353" i="6"/>
  <c r="J445" i="6"/>
  <c r="C15" i="5"/>
  <c r="C12" i="4" s="1"/>
  <c r="C171" i="5"/>
  <c r="C73" i="4" s="1"/>
  <c r="G15" i="5"/>
  <c r="G12" i="4" s="1"/>
  <c r="J195" i="6"/>
  <c r="J197" i="6"/>
  <c r="J201" i="6"/>
  <c r="J213" i="6"/>
  <c r="J217" i="6"/>
  <c r="J324" i="6"/>
  <c r="J350" i="6"/>
  <c r="J354" i="6"/>
  <c r="J361" i="6"/>
  <c r="J371" i="6"/>
  <c r="J442" i="6"/>
  <c r="J446" i="6"/>
  <c r="J487" i="6"/>
  <c r="J503" i="6"/>
  <c r="J507" i="6"/>
  <c r="J515" i="6"/>
  <c r="J570" i="6"/>
  <c r="J685" i="6"/>
  <c r="C8" i="5"/>
  <c r="C8" i="4" s="1"/>
  <c r="G203" i="5"/>
  <c r="G87" i="4" s="1"/>
  <c r="J20" i="6"/>
  <c r="J22" i="6"/>
  <c r="J33" i="6"/>
  <c r="J35" i="6"/>
  <c r="J41" i="6"/>
  <c r="J240" i="6"/>
  <c r="J303" i="6"/>
  <c r="J383" i="6"/>
  <c r="J583" i="6"/>
  <c r="J637" i="6"/>
  <c r="J695" i="6"/>
  <c r="J779" i="6"/>
  <c r="J780" i="6" s="1"/>
  <c r="J781" i="6" s="1"/>
  <c r="J782" i="6" s="1"/>
  <c r="J786" i="6"/>
  <c r="J788" i="6"/>
  <c r="J323" i="6"/>
  <c r="G8" i="5"/>
  <c r="G8" i="4" s="1"/>
  <c r="J121" i="6"/>
  <c r="J130" i="6"/>
  <c r="J290" i="6"/>
  <c r="J292" i="6"/>
  <c r="J313" i="6"/>
  <c r="J337" i="6"/>
  <c r="J339" i="6"/>
  <c r="J393" i="6"/>
  <c r="J420" i="6"/>
  <c r="J599" i="6"/>
  <c r="J616" i="6"/>
  <c r="J618" i="6"/>
  <c r="J676" i="6"/>
  <c r="J705" i="6"/>
  <c r="J715" i="6"/>
  <c r="J750" i="6"/>
  <c r="J754" i="6"/>
  <c r="H34" i="4"/>
  <c r="B14" i="4"/>
  <c r="B27" i="4"/>
  <c r="B10" i="2" s="1"/>
  <c r="B11" i="3" s="1"/>
  <c r="B53" i="4"/>
  <c r="B76" i="4"/>
  <c r="B18" i="2" s="1"/>
  <c r="B19" i="3" s="1"/>
  <c r="B93" i="4"/>
  <c r="H64" i="4"/>
  <c r="H70" i="4"/>
  <c r="H82" i="4"/>
  <c r="H90" i="4"/>
  <c r="H5" i="2"/>
  <c r="B16" i="4"/>
  <c r="B31" i="4"/>
  <c r="B11" i="2" s="1"/>
  <c r="B12" i="3" s="1"/>
  <c r="B54" i="4"/>
  <c r="B82" i="4"/>
  <c r="B95" i="4"/>
  <c r="C12" i="5"/>
  <c r="C11" i="4" s="1"/>
  <c r="C21" i="5"/>
  <c r="C14" i="4" s="1"/>
  <c r="C76" i="5"/>
  <c r="C34" i="4" s="1"/>
  <c r="G86" i="5"/>
  <c r="C93" i="5"/>
  <c r="C41" i="4" s="1"/>
  <c r="G101" i="5"/>
  <c r="G43" i="4" s="1"/>
  <c r="C105" i="5"/>
  <c r="C44" i="4" s="1"/>
  <c r="C134" i="5"/>
  <c r="C56" i="4" s="1"/>
  <c r="C144" i="5"/>
  <c r="C61" i="4" s="1"/>
  <c r="G155" i="5"/>
  <c r="G66" i="4" s="1"/>
  <c r="G165" i="5"/>
  <c r="G71" i="4" s="1"/>
  <c r="C184" i="5"/>
  <c r="C79" i="4" s="1"/>
  <c r="C194" i="5"/>
  <c r="C84" i="4" s="1"/>
  <c r="C212" i="5"/>
  <c r="C90" i="4" s="1"/>
  <c r="C215" i="5"/>
  <c r="C91" i="4" s="1"/>
  <c r="G224" i="5"/>
  <c r="G94" i="4" s="1"/>
  <c r="C227" i="5"/>
  <c r="C95" i="4" s="1"/>
  <c r="G243" i="5"/>
  <c r="G103" i="4" s="1"/>
  <c r="I1189" i="7"/>
  <c r="J1189" i="7" s="1"/>
  <c r="I1216" i="7"/>
  <c r="J1216" i="7" s="1"/>
  <c r="I1371" i="7"/>
  <c r="J1371" i="7" s="1"/>
  <c r="I158" i="8"/>
  <c r="J158" i="8" s="1"/>
  <c r="I283" i="7"/>
  <c r="J283" i="7" s="1"/>
  <c r="J284" i="7" s="1"/>
  <c r="I82" i="6" s="1"/>
  <c r="J82" i="6" s="1"/>
  <c r="I395" i="8"/>
  <c r="J395" i="8" s="1"/>
  <c r="I593" i="7"/>
  <c r="J593" i="7" s="1"/>
  <c r="J594" i="7" s="1"/>
  <c r="I585" i="7" s="1"/>
  <c r="M585" i="7" s="1"/>
  <c r="I605" i="7"/>
  <c r="J605" i="7" s="1"/>
  <c r="J606" i="7" s="1"/>
  <c r="I597" i="7" s="1"/>
  <c r="M597" i="7" s="1"/>
  <c r="I736" i="7"/>
  <c r="J736" i="7" s="1"/>
  <c r="J737" i="7" s="1"/>
  <c r="I796" i="7"/>
  <c r="J796" i="7" s="1"/>
  <c r="I13" i="9"/>
  <c r="J13" i="9" s="1"/>
  <c r="J14" i="9" s="1"/>
  <c r="I12" i="9" s="1"/>
  <c r="M12" i="9" s="1"/>
  <c r="I96" i="9"/>
  <c r="J96" i="9" s="1"/>
  <c r="I98" i="9"/>
  <c r="J98" i="9" s="1"/>
  <c r="I163" i="9"/>
  <c r="J163" i="9" s="1"/>
  <c r="I171" i="9"/>
  <c r="J171" i="9" s="1"/>
  <c r="I586" i="8"/>
  <c r="J586" i="8" s="1"/>
  <c r="L452" i="9"/>
  <c r="I66" i="10"/>
  <c r="J66" i="10" s="1"/>
  <c r="I170" i="10"/>
  <c r="J170" i="10" s="1"/>
  <c r="J171" i="10" s="1"/>
  <c r="I169" i="10" s="1"/>
  <c r="M169" i="10" s="1"/>
  <c r="H56" i="4"/>
  <c r="B25" i="4"/>
  <c r="H8" i="4"/>
  <c r="H14" i="4"/>
  <c r="H77" i="4"/>
  <c r="H91" i="4"/>
  <c r="H95" i="4"/>
  <c r="B7" i="4"/>
  <c r="C17" i="4"/>
  <c r="B33" i="4"/>
  <c r="B55" i="4"/>
  <c r="B83" i="4"/>
  <c r="C18" i="5"/>
  <c r="C13" i="4" s="1"/>
  <c r="C24" i="5"/>
  <c r="C15" i="4" s="1"/>
  <c r="C60" i="5"/>
  <c r="C28" i="4" s="1"/>
  <c r="C70" i="5"/>
  <c r="C32" i="4" s="1"/>
  <c r="C73" i="5"/>
  <c r="C33" i="4" s="1"/>
  <c r="G76" i="5"/>
  <c r="G34" i="4" s="1"/>
  <c r="C109" i="5"/>
  <c r="C47" i="4" s="1"/>
  <c r="G134" i="5"/>
  <c r="G56" i="4" s="1"/>
  <c r="G144" i="5"/>
  <c r="G61" i="4" s="1"/>
  <c r="C149" i="5"/>
  <c r="C64" i="4" s="1"/>
  <c r="C162" i="5"/>
  <c r="C70" i="4" s="1"/>
  <c r="G184" i="5"/>
  <c r="G79" i="4" s="1"/>
  <c r="C188" i="5"/>
  <c r="C82" i="4" s="1"/>
  <c r="G194" i="5"/>
  <c r="G84" i="4" s="1"/>
  <c r="C197" i="5"/>
  <c r="C85" i="4" s="1"/>
  <c r="G212" i="5"/>
  <c r="G90" i="4" s="1"/>
  <c r="G215" i="5"/>
  <c r="G91" i="4" s="1"/>
  <c r="C231" i="5"/>
  <c r="C98" i="4" s="1"/>
  <c r="I1143" i="7"/>
  <c r="J1143" i="7" s="1"/>
  <c r="I1170" i="7"/>
  <c r="J1170" i="7" s="1"/>
  <c r="I1253" i="7"/>
  <c r="J1253" i="7" s="1"/>
  <c r="I1332" i="7"/>
  <c r="J1332" i="7" s="1"/>
  <c r="I1336" i="7"/>
  <c r="J1336" i="7" s="1"/>
  <c r="I1338" i="7"/>
  <c r="J1338" i="7" s="1"/>
  <c r="I1346" i="7"/>
  <c r="J1346" i="7" s="1"/>
  <c r="L60" i="8"/>
  <c r="I119" i="8"/>
  <c r="J119" i="8" s="1"/>
  <c r="I121" i="8"/>
  <c r="J121" i="8" s="1"/>
  <c r="I131" i="8"/>
  <c r="J131" i="8" s="1"/>
  <c r="I133" i="8"/>
  <c r="J133" i="8" s="1"/>
  <c r="L181" i="8"/>
  <c r="I199" i="8"/>
  <c r="J199" i="8" s="1"/>
  <c r="I761" i="8"/>
  <c r="J761" i="8" s="1"/>
  <c r="I763" i="8"/>
  <c r="J763" i="8" s="1"/>
  <c r="I769" i="8"/>
  <c r="J769" i="8" s="1"/>
  <c r="L776" i="8"/>
  <c r="I841" i="8"/>
  <c r="J841" i="8" s="1"/>
  <c r="I79" i="9"/>
  <c r="J79" i="9" s="1"/>
  <c r="I87" i="9"/>
  <c r="J87" i="9" s="1"/>
  <c r="I92" i="9"/>
  <c r="J92" i="9" s="1"/>
  <c r="I111" i="9"/>
  <c r="J111" i="9" s="1"/>
  <c r="I147" i="9"/>
  <c r="J147" i="9" s="1"/>
  <c r="I8" i="10"/>
  <c r="J8" i="10" s="1"/>
  <c r="I37" i="10"/>
  <c r="J37" i="10" s="1"/>
  <c r="I39" i="10"/>
  <c r="J39" i="10" s="1"/>
  <c r="I49" i="10"/>
  <c r="J49" i="10" s="1"/>
  <c r="I51" i="10"/>
  <c r="J51" i="10" s="1"/>
  <c r="H15" i="4"/>
  <c r="H28" i="4"/>
  <c r="H55" i="4"/>
  <c r="B12" i="4"/>
  <c r="B21" i="4"/>
  <c r="B9" i="2" s="1"/>
  <c r="B10" i="3" s="1"/>
  <c r="B40" i="4"/>
  <c r="B69" i="4"/>
  <c r="G27" i="5"/>
  <c r="G16" i="4" s="1"/>
  <c r="G40" i="5"/>
  <c r="G22" i="4" s="1"/>
  <c r="C48" i="5"/>
  <c r="C23" i="4" s="1"/>
  <c r="C51" i="5"/>
  <c r="C24" i="4" s="1"/>
  <c r="C54" i="5"/>
  <c r="C25" i="4" s="1"/>
  <c r="C65" i="5"/>
  <c r="C29" i="4" s="1"/>
  <c r="G80" i="5"/>
  <c r="G37" i="4" s="1"/>
  <c r="G89" i="5"/>
  <c r="G40" i="4" s="1"/>
  <c r="C98" i="5"/>
  <c r="C42" i="4" s="1"/>
  <c r="C114" i="5"/>
  <c r="C50" i="4" s="1"/>
  <c r="G168" i="5"/>
  <c r="G72" i="4" s="1"/>
  <c r="G178" i="5"/>
  <c r="G77" i="4" s="1"/>
  <c r="C181" i="5"/>
  <c r="C78" i="4" s="1"/>
  <c r="C203" i="5"/>
  <c r="C87" i="4" s="1"/>
  <c r="C218" i="5"/>
  <c r="C92" i="4" s="1"/>
  <c r="G236" i="5"/>
  <c r="G99" i="4" s="1"/>
  <c r="I1134" i="7"/>
  <c r="J1134" i="7" s="1"/>
  <c r="I1161" i="7"/>
  <c r="J1161" i="7" s="1"/>
  <c r="I1244" i="7"/>
  <c r="J1244" i="7" s="1"/>
  <c r="L1364" i="7"/>
  <c r="I145" i="8"/>
  <c r="J145" i="8" s="1"/>
  <c r="I147" i="8"/>
  <c r="J147" i="8" s="1"/>
  <c r="I161" i="8"/>
  <c r="J161" i="8" s="1"/>
  <c r="I311" i="7"/>
  <c r="J311" i="7" s="1"/>
  <c r="L577" i="8"/>
  <c r="I701" i="8"/>
  <c r="J701" i="8" s="1"/>
  <c r="L17" i="9"/>
  <c r="M17" i="9" s="1"/>
  <c r="I99" i="9"/>
  <c r="J99" i="9" s="1"/>
  <c r="I154" i="9"/>
  <c r="J154" i="9" s="1"/>
  <c r="I156" i="9"/>
  <c r="J156" i="9" s="1"/>
  <c r="I168" i="9"/>
  <c r="J168" i="9" s="1"/>
  <c r="I14" i="10"/>
  <c r="J14" i="10" s="1"/>
  <c r="I16" i="10"/>
  <c r="J16" i="10" s="1"/>
  <c r="I63" i="10"/>
  <c r="J63" i="10" s="1"/>
  <c r="I65" i="10"/>
  <c r="J65" i="10" s="1"/>
  <c r="B13" i="4"/>
  <c r="B47" i="4"/>
  <c r="B74" i="4"/>
  <c r="B89" i="4"/>
  <c r="G51" i="5"/>
  <c r="G24" i="4" s="1"/>
  <c r="G54" i="5"/>
  <c r="G25" i="4" s="1"/>
  <c r="G65" i="5"/>
  <c r="G29" i="4" s="1"/>
  <c r="G98" i="5"/>
  <c r="G42" i="4" s="1"/>
  <c r="G114" i="5"/>
  <c r="G50" i="4" s="1"/>
  <c r="C117" i="5"/>
  <c r="C51" i="4" s="1"/>
  <c r="C121" i="5"/>
  <c r="C52" i="4" s="1"/>
  <c r="C124" i="5"/>
  <c r="C53" i="4" s="1"/>
  <c r="C138" i="5"/>
  <c r="C59" i="4" s="1"/>
  <c r="C152" i="5"/>
  <c r="C65" i="4" s="1"/>
  <c r="C159" i="5"/>
  <c r="C69" i="4" s="1"/>
  <c r="C174" i="5"/>
  <c r="C74" i="4" s="1"/>
  <c r="C221" i="5"/>
  <c r="C93" i="4" s="1"/>
  <c r="I1198" i="7"/>
  <c r="J1198" i="7" s="1"/>
  <c r="I1349" i="7"/>
  <c r="J1349" i="7" s="1"/>
  <c r="I71" i="8"/>
  <c r="J71" i="8" s="1"/>
  <c r="I128" i="8"/>
  <c r="J128" i="8" s="1"/>
  <c r="I136" i="8"/>
  <c r="J136" i="8" s="1"/>
  <c r="I141" i="8"/>
  <c r="J141" i="8" s="1"/>
  <c r="I182" i="8"/>
  <c r="J182" i="8" s="1"/>
  <c r="I186" i="8"/>
  <c r="J186" i="8" s="1"/>
  <c r="I188" i="8"/>
  <c r="J188" i="8" s="1"/>
  <c r="I196" i="8"/>
  <c r="J196" i="8" s="1"/>
  <c r="I331" i="7"/>
  <c r="J331" i="7" s="1"/>
  <c r="I332" i="7"/>
  <c r="J332" i="7" s="1"/>
  <c r="I636" i="7"/>
  <c r="J636" i="7" s="1"/>
  <c r="I764" i="8"/>
  <c r="J764" i="8" s="1"/>
  <c r="I772" i="8"/>
  <c r="J772" i="8" s="1"/>
  <c r="I50" i="9"/>
  <c r="J50" i="9" s="1"/>
  <c r="I84" i="9"/>
  <c r="J84" i="9" s="1"/>
  <c r="I422" i="8"/>
  <c r="J422" i="8" s="1"/>
  <c r="I54" i="10"/>
  <c r="J54" i="10" s="1"/>
  <c r="I59" i="10"/>
  <c r="J59" i="10" s="1"/>
  <c r="H84" i="4"/>
  <c r="H85" i="4"/>
  <c r="C86" i="5"/>
  <c r="C39" i="4" s="1"/>
  <c r="C101" i="5"/>
  <c r="C43" i="4" s="1"/>
  <c r="G121" i="5"/>
  <c r="G52" i="4" s="1"/>
  <c r="G124" i="5"/>
  <c r="G53" i="4" s="1"/>
  <c r="G138" i="5"/>
  <c r="G59" i="4" s="1"/>
  <c r="C155" i="5"/>
  <c r="C66" i="4" s="1"/>
  <c r="G159" i="5"/>
  <c r="G69" i="4" s="1"/>
  <c r="C165" i="5"/>
  <c r="C71" i="4" s="1"/>
  <c r="G174" i="5"/>
  <c r="G74" i="4" s="1"/>
  <c r="C191" i="5"/>
  <c r="C83" i="4" s="1"/>
  <c r="C200" i="5"/>
  <c r="C86" i="4" s="1"/>
  <c r="G206" i="5"/>
  <c r="G88" i="4" s="1"/>
  <c r="C209" i="5"/>
  <c r="C89" i="4" s="1"/>
  <c r="G221" i="5"/>
  <c r="G93" i="4" s="1"/>
  <c r="C224" i="5"/>
  <c r="C94" i="4" s="1"/>
  <c r="C240" i="5"/>
  <c r="C102" i="4" s="1"/>
  <c r="C243" i="5"/>
  <c r="C103" i="4" s="1"/>
  <c r="I1152" i="7"/>
  <c r="J1152" i="7" s="1"/>
  <c r="I1320" i="7"/>
  <c r="J1320" i="7" s="1"/>
  <c r="I88" i="8"/>
  <c r="J88" i="8" s="1"/>
  <c r="I112" i="8"/>
  <c r="J112" i="8" s="1"/>
  <c r="I720" i="8"/>
  <c r="J720" i="8" s="1"/>
  <c r="I794" i="8"/>
  <c r="J794" i="8" s="1"/>
  <c r="J795" i="8" s="1"/>
  <c r="I793" i="8" s="1"/>
  <c r="M793" i="8" s="1"/>
  <c r="I1372" i="7"/>
  <c r="J1372" i="7" s="1"/>
  <c r="I67" i="9"/>
  <c r="J67" i="9" s="1"/>
  <c r="I72" i="9"/>
  <c r="J72" i="9" s="1"/>
  <c r="I542" i="8"/>
  <c r="J542" i="8" s="1"/>
  <c r="I543" i="8"/>
  <c r="J543" i="8" s="1"/>
  <c r="I677" i="8"/>
  <c r="J677" i="8" s="1"/>
  <c r="J678" i="8" s="1"/>
  <c r="I1162" i="7" s="1"/>
  <c r="J1162" i="7" s="1"/>
  <c r="I25" i="10"/>
  <c r="J25" i="10" s="1"/>
  <c r="I30" i="10"/>
  <c r="J30" i="10" s="1"/>
  <c r="I78" i="10"/>
  <c r="J78" i="10" s="1"/>
  <c r="I111" i="7"/>
  <c r="J111" i="7" s="1"/>
  <c r="I94" i="9"/>
  <c r="J94" i="9" s="1"/>
  <c r="I743" i="7"/>
  <c r="J743" i="7" s="1"/>
  <c r="I803" i="7"/>
  <c r="J803" i="7" s="1"/>
  <c r="I52" i="9"/>
  <c r="J52" i="9" s="1"/>
  <c r="I149" i="9"/>
  <c r="J149" i="9" s="1"/>
  <c r="I10" i="10"/>
  <c r="J10" i="10" s="1"/>
  <c r="I32" i="10"/>
  <c r="J32" i="10" s="1"/>
  <c r="I61" i="10"/>
  <c r="J61" i="10" s="1"/>
  <c r="I73" i="8"/>
  <c r="J73" i="8" s="1"/>
  <c r="I85" i="10"/>
  <c r="J85" i="10" s="1"/>
  <c r="I74" i="9"/>
  <c r="J74" i="9" s="1"/>
  <c r="I114" i="8"/>
  <c r="J114" i="8" s="1"/>
  <c r="I143" i="8"/>
  <c r="J143" i="8" s="1"/>
  <c r="I703" i="8"/>
  <c r="J703" i="8" s="1"/>
  <c r="I114" i="7"/>
  <c r="J114" i="7" s="1"/>
  <c r="I76" i="8"/>
  <c r="J76" i="8" s="1"/>
  <c r="I55" i="9"/>
  <c r="J55" i="9" s="1"/>
  <c r="J607" i="6"/>
  <c r="J666" i="6"/>
  <c r="J595" i="6"/>
  <c r="J601" i="6"/>
  <c r="J614" i="6"/>
  <c r="J648" i="6"/>
  <c r="J384" i="6"/>
  <c r="J752" i="6"/>
  <c r="J647" i="6"/>
  <c r="J755" i="6"/>
  <c r="J304" i="6"/>
  <c r="J502" i="6"/>
  <c r="J338" i="6"/>
  <c r="J314" i="6"/>
  <c r="M107" i="10"/>
  <c r="J122" i="6"/>
  <c r="J271" i="6"/>
  <c r="M331" i="8"/>
  <c r="J597" i="6"/>
  <c r="J241" i="6"/>
  <c r="J568" i="6"/>
  <c r="M139" i="10"/>
  <c r="J228" i="6"/>
  <c r="J566" i="6"/>
  <c r="M134" i="10"/>
  <c r="M164" i="10"/>
  <c r="M144" i="10"/>
  <c r="M149" i="10"/>
  <c r="M179" i="10"/>
  <c r="M174" i="10"/>
  <c r="M1314" i="7"/>
  <c r="M154" i="10"/>
  <c r="M184" i="10"/>
  <c r="M1297" i="7"/>
  <c r="M817" i="8"/>
  <c r="M129" i="10"/>
  <c r="M159" i="10"/>
  <c r="J598" i="6"/>
  <c r="J787" i="6"/>
  <c r="J291" i="6"/>
  <c r="J129" i="6"/>
  <c r="J569" i="6"/>
  <c r="J202" i="6"/>
  <c r="J31" i="6"/>
  <c r="J325" i="6"/>
  <c r="J606" i="6"/>
  <c r="J638" i="6"/>
  <c r="J96" i="6"/>
  <c r="J97" i="6" s="1"/>
  <c r="I95" i="6" s="1"/>
  <c r="J505" i="6"/>
  <c r="J352" i="6"/>
  <c r="J444" i="6"/>
  <c r="I664" i="8"/>
  <c r="M664" i="8" s="1"/>
  <c r="J34" i="6"/>
  <c r="J489" i="6"/>
  <c r="J495" i="6"/>
  <c r="J21" i="6"/>
  <c r="J40" i="6"/>
  <c r="J199" i="6"/>
  <c r="J215" i="6"/>
  <c r="J373" i="6"/>
  <c r="J402" i="6"/>
  <c r="J582" i="6"/>
  <c r="J43" i="6"/>
  <c r="J585" i="6"/>
  <c r="J492" i="6"/>
  <c r="J196" i="6"/>
  <c r="J305" i="8"/>
  <c r="I322" i="7" s="1"/>
  <c r="J322" i="7" s="1"/>
  <c r="J37" i="6"/>
  <c r="J212" i="6"/>
  <c r="I567" i="8"/>
  <c r="M567" i="8" s="1"/>
  <c r="J1305" i="7"/>
  <c r="I1302" i="7" s="1"/>
  <c r="M1302" i="7" s="1"/>
  <c r="I263" i="8"/>
  <c r="M263" i="8" s="1"/>
  <c r="J1311" i="7"/>
  <c r="I1308" i="7" s="1"/>
  <c r="M1308" i="7" s="1"/>
  <c r="J831" i="8"/>
  <c r="I822" i="8" s="1"/>
  <c r="M822" i="8" s="1"/>
  <c r="I802" i="8"/>
  <c r="J802" i="8" s="1"/>
  <c r="I437" i="9"/>
  <c r="M437" i="9" s="1"/>
  <c r="I13" i="7"/>
  <c r="J13" i="7" s="1"/>
  <c r="J14" i="7" s="1"/>
  <c r="I8" i="6" s="1"/>
  <c r="J8" i="6" s="1"/>
  <c r="I7" i="8"/>
  <c r="M7" i="8" s="1"/>
  <c r="I685" i="7"/>
  <c r="J685" i="7" s="1"/>
  <c r="J686" i="7" s="1"/>
  <c r="I637" i="8"/>
  <c r="M637" i="8" s="1"/>
  <c r="I527" i="8"/>
  <c r="J527" i="8" s="1"/>
  <c r="I311" i="9"/>
  <c r="M311" i="9" s="1"/>
  <c r="I520" i="8"/>
  <c r="J520" i="8" s="1"/>
  <c r="J521" i="8" s="1"/>
  <c r="I1439" i="7" s="1"/>
  <c r="J1439" i="7" s="1"/>
  <c r="I296" i="9"/>
  <c r="M296" i="9" s="1"/>
  <c r="I807" i="8"/>
  <c r="J807" i="8" s="1"/>
  <c r="I422" i="9"/>
  <c r="M422" i="9" s="1"/>
  <c r="J299" i="8"/>
  <c r="I321" i="7" s="1"/>
  <c r="J321" i="7" s="1"/>
  <c r="I572" i="8"/>
  <c r="M572" i="8" s="1"/>
  <c r="J423" i="8"/>
  <c r="I519" i="7" s="1"/>
  <c r="J519" i="7" s="1"/>
  <c r="J1294" i="7"/>
  <c r="I1288" i="7" s="1"/>
  <c r="M1288" i="7" s="1"/>
  <c r="I279" i="8"/>
  <c r="M279" i="8" s="1"/>
  <c r="I341" i="8"/>
  <c r="M341" i="8" s="1"/>
  <c r="I622" i="8"/>
  <c r="M622" i="8" s="1"/>
  <c r="I659" i="8"/>
  <c r="M659" i="8" s="1"/>
  <c r="I343" i="9"/>
  <c r="M343" i="9" s="1"/>
  <c r="J609" i="8"/>
  <c r="I642" i="7" s="1"/>
  <c r="J642" i="7" s="1"/>
  <c r="I262" i="9"/>
  <c r="M262" i="9" s="1"/>
  <c r="P93" i="5"/>
  <c r="H41" i="4" s="1"/>
  <c r="P54" i="5"/>
  <c r="P65" i="5"/>
  <c r="H29" i="4" s="1"/>
  <c r="P40" i="5"/>
  <c r="H22" i="4" s="1"/>
  <c r="I30" i="8"/>
  <c r="J30" i="8" s="1"/>
  <c r="I7" i="9"/>
  <c r="M7" i="9" s="1"/>
  <c r="J797" i="7"/>
  <c r="I58" i="6"/>
  <c r="J58" i="6" s="1"/>
  <c r="I198" i="7"/>
  <c r="M198" i="7" s="1"/>
  <c r="I295" i="7"/>
  <c r="J295" i="7" s="1"/>
  <c r="J296" i="7" s="1"/>
  <c r="I268" i="8"/>
  <c r="M268" i="8" s="1"/>
  <c r="I617" i="7"/>
  <c r="J617" i="7" s="1"/>
  <c r="J618" i="7" s="1"/>
  <c r="I577" i="8"/>
  <c r="I724" i="7"/>
  <c r="J724" i="7" s="1"/>
  <c r="I654" i="8"/>
  <c r="M654" i="8" s="1"/>
  <c r="I59" i="6"/>
  <c r="J59" i="6" s="1"/>
  <c r="I203" i="7"/>
  <c r="M203" i="7" s="1"/>
  <c r="I56" i="7"/>
  <c r="J56" i="7" s="1"/>
  <c r="J57" i="7" s="1"/>
  <c r="I60" i="8"/>
  <c r="M60" i="8" s="1"/>
  <c r="I48" i="8"/>
  <c r="J48" i="8" s="1"/>
  <c r="I56" i="8"/>
  <c r="J56" i="8" s="1"/>
  <c r="I22" i="9"/>
  <c r="M22" i="9" s="1"/>
  <c r="I354" i="8"/>
  <c r="J354" i="8" s="1"/>
  <c r="J355" i="8" s="1"/>
  <c r="I212" i="9"/>
  <c r="M212" i="9" s="1"/>
  <c r="I689" i="8"/>
  <c r="J689" i="8" s="1"/>
  <c r="I405" i="9"/>
  <c r="M405" i="9" s="1"/>
  <c r="I339" i="7"/>
  <c r="J339" i="7" s="1"/>
  <c r="I330" i="7"/>
  <c r="J330" i="7" s="1"/>
  <c r="I637" i="7"/>
  <c r="J637" i="7" s="1"/>
  <c r="I627" i="8"/>
  <c r="M627" i="8" s="1"/>
  <c r="I23" i="7"/>
  <c r="J23" i="7" s="1"/>
  <c r="J24" i="7" s="1"/>
  <c r="I12" i="8"/>
  <c r="M12" i="8" s="1"/>
  <c r="I50" i="8"/>
  <c r="J50" i="8" s="1"/>
  <c r="I32" i="9"/>
  <c r="M32" i="9" s="1"/>
  <c r="I594" i="8"/>
  <c r="J594" i="8" s="1"/>
  <c r="I584" i="8"/>
  <c r="J584" i="8" s="1"/>
  <c r="I365" i="9"/>
  <c r="M365" i="9" s="1"/>
  <c r="I587" i="8"/>
  <c r="J587" i="8" s="1"/>
  <c r="I380" i="9"/>
  <c r="M380" i="9" s="1"/>
  <c r="I338" i="7"/>
  <c r="J338" i="7" s="1"/>
  <c r="I329" i="7"/>
  <c r="J329" i="7" s="1"/>
  <c r="I656" i="7"/>
  <c r="J656" i="7" s="1"/>
  <c r="J657" i="7" s="1"/>
  <c r="I648" i="7" s="1"/>
  <c r="M648" i="7" s="1"/>
  <c r="I632" i="8"/>
  <c r="M632" i="8" s="1"/>
  <c r="I207" i="9"/>
  <c r="M207" i="9" s="1"/>
  <c r="I550" i="8"/>
  <c r="J550" i="8" s="1"/>
  <c r="I541" i="8"/>
  <c r="J541" i="8" s="1"/>
  <c r="J5" i="14"/>
  <c r="K5" i="13"/>
  <c r="K5" i="11"/>
  <c r="N5" i="12"/>
  <c r="A774" i="6"/>
  <c r="A745" i="6"/>
  <c r="K5" i="10"/>
  <c r="K5" i="9"/>
  <c r="K5" i="8"/>
  <c r="A781" i="6"/>
  <c r="K5" i="7"/>
  <c r="A757" i="6"/>
  <c r="A721" i="6"/>
  <c r="A670" i="6"/>
  <c r="A621" i="6"/>
  <c r="A415" i="6"/>
  <c r="A388" i="6"/>
  <c r="A318" i="6"/>
  <c r="A223" i="6"/>
  <c r="A180" i="6"/>
  <c r="A729" i="6"/>
  <c r="A632" i="6"/>
  <c r="A519" i="6"/>
  <c r="A482" i="6"/>
  <c r="A425" i="6"/>
  <c r="A264" i="6"/>
  <c r="A710" i="6"/>
  <c r="A661" i="6"/>
  <c r="A642" i="6"/>
  <c r="A437" i="6"/>
  <c r="A406" i="6"/>
  <c r="A377" i="6"/>
  <c r="A791" i="6"/>
  <c r="A690" i="6"/>
  <c r="A652" i="6"/>
  <c r="A577" i="6"/>
  <c r="A397" i="6"/>
  <c r="A366" i="6"/>
  <c r="A331" i="6"/>
  <c r="A298" i="6"/>
  <c r="A234" i="6"/>
  <c r="A189" i="6"/>
  <c r="A700" i="6"/>
  <c r="A589" i="6"/>
  <c r="A534" i="6"/>
  <c r="A497" i="6"/>
  <c r="A343" i="6"/>
  <c r="A308" i="6"/>
  <c r="A275" i="6"/>
  <c r="A246" i="6"/>
  <c r="A207" i="6"/>
  <c r="A148" i="6"/>
  <c r="A113" i="6"/>
  <c r="A510" i="6"/>
  <c r="A356" i="6"/>
  <c r="A284" i="6"/>
  <c r="A255" i="6"/>
  <c r="A737" i="6"/>
  <c r="A559" i="6"/>
  <c r="A49" i="6"/>
  <c r="A609" i="6"/>
  <c r="A91" i="6"/>
  <c r="A76" i="6"/>
  <c r="A765" i="6"/>
  <c r="A451" i="6"/>
  <c r="A136" i="6"/>
  <c r="A25" i="6"/>
  <c r="A98" i="6"/>
  <c r="A84" i="6"/>
  <c r="K5" i="6"/>
  <c r="A680" i="6"/>
  <c r="A105" i="6"/>
  <c r="A68" i="6"/>
  <c r="I54" i="4"/>
  <c r="L5" i="4"/>
  <c r="Q5" i="3"/>
  <c r="K5" i="2"/>
  <c r="A124" i="6"/>
  <c r="P5" i="5"/>
  <c r="A12" i="6"/>
  <c r="I17" i="4"/>
  <c r="I650" i="8"/>
  <c r="J650" i="8" s="1"/>
  <c r="J651" i="8" s="1"/>
  <c r="I395" i="9"/>
  <c r="M395" i="9" s="1"/>
  <c r="I5" i="10"/>
  <c r="I5" i="11"/>
  <c r="I5" i="12"/>
  <c r="H5" i="13"/>
  <c r="I5" i="9"/>
  <c r="H5" i="14"/>
  <c r="I5" i="7"/>
  <c r="I5" i="8"/>
  <c r="I5" i="6"/>
  <c r="M5" i="5"/>
  <c r="H5" i="3"/>
  <c r="I5" i="4"/>
  <c r="I68" i="7"/>
  <c r="J68" i="7" s="1"/>
  <c r="J69" i="7" s="1"/>
  <c r="I65" i="8"/>
  <c r="M65" i="8" s="1"/>
  <c r="I635" i="7"/>
  <c r="J635" i="7" s="1"/>
  <c r="I644" i="7"/>
  <c r="J644" i="7" s="1"/>
  <c r="I617" i="8"/>
  <c r="M617" i="8" s="1"/>
  <c r="I534" i="8"/>
  <c r="J534" i="8" s="1"/>
  <c r="I526" i="8"/>
  <c r="J526" i="8" s="1"/>
  <c r="I306" i="9"/>
  <c r="M306" i="9" s="1"/>
  <c r="I390" i="9"/>
  <c r="M390" i="9" s="1"/>
  <c r="I400" i="9"/>
  <c r="M400" i="9" s="1"/>
  <c r="I120" i="10"/>
  <c r="J120" i="10" s="1"/>
  <c r="I7" i="11"/>
  <c r="M7" i="11" s="1"/>
  <c r="I55" i="8"/>
  <c r="J55" i="8" s="1"/>
  <c r="I47" i="8"/>
  <c r="J47" i="8" s="1"/>
  <c r="I49" i="8"/>
  <c r="J49" i="8" s="1"/>
  <c r="I27" i="9"/>
  <c r="M27" i="9" s="1"/>
  <c r="I366" i="8"/>
  <c r="J366" i="8" s="1"/>
  <c r="J367" i="8" s="1"/>
  <c r="I217" i="9"/>
  <c r="M217" i="9" s="1"/>
  <c r="I434" i="8"/>
  <c r="J434" i="8" s="1"/>
  <c r="J435" i="8" s="1"/>
  <c r="I267" i="9"/>
  <c r="M267" i="9" s="1"/>
  <c r="I528" i="8"/>
  <c r="J528" i="8" s="1"/>
  <c r="I316" i="9"/>
  <c r="M316" i="9" s="1"/>
  <c r="I540" i="8"/>
  <c r="J540" i="8" s="1"/>
  <c r="I549" i="8"/>
  <c r="J549" i="8" s="1"/>
  <c r="I800" i="8"/>
  <c r="J800" i="8" s="1"/>
  <c r="I427" i="9"/>
  <c r="M427" i="9" s="1"/>
  <c r="I442" i="9"/>
  <c r="M442" i="9" s="1"/>
  <c r="I33" i="7"/>
  <c r="J33" i="7" s="1"/>
  <c r="I17" i="8"/>
  <c r="M17" i="8" s="1"/>
  <c r="I326" i="8"/>
  <c r="M326" i="8" s="1"/>
  <c r="I336" i="8"/>
  <c r="M336" i="8" s="1"/>
  <c r="I812" i="8"/>
  <c r="M812" i="8" s="1"/>
  <c r="I338" i="9"/>
  <c r="I348" i="9"/>
  <c r="I375" i="9"/>
  <c r="M375" i="9" s="1"/>
  <c r="I643" i="7"/>
  <c r="J643" i="7" s="1"/>
  <c r="I634" i="7"/>
  <c r="J634" i="7" s="1"/>
  <c r="I612" i="8"/>
  <c r="M612" i="8" s="1"/>
  <c r="I42" i="8"/>
  <c r="J42" i="8" s="1"/>
  <c r="I292" i="8"/>
  <c r="J292" i="8" s="1"/>
  <c r="I202" i="9"/>
  <c r="M202" i="9" s="1"/>
  <c r="I525" i="8"/>
  <c r="J525" i="8" s="1"/>
  <c r="I533" i="8"/>
  <c r="J533" i="8" s="1"/>
  <c r="I301" i="9"/>
  <c r="M301" i="9" s="1"/>
  <c r="B103" i="4"/>
  <c r="H99" i="4"/>
  <c r="B98" i="4"/>
  <c r="B77" i="4"/>
  <c r="H73" i="4"/>
  <c r="B70" i="4"/>
  <c r="H59" i="4"/>
  <c r="B56" i="4"/>
  <c r="C54" i="4"/>
  <c r="H52" i="4"/>
  <c r="H43" i="4"/>
  <c r="B42" i="4"/>
  <c r="H38" i="4"/>
  <c r="B37" i="4"/>
  <c r="B28" i="4"/>
  <c r="H24" i="4"/>
  <c r="B23" i="4"/>
  <c r="H17" i="4"/>
  <c r="H86" i="4"/>
  <c r="H79" i="4"/>
  <c r="B78" i="4"/>
  <c r="H72" i="4"/>
  <c r="B71" i="4"/>
  <c r="B63" i="4"/>
  <c r="B16" i="2" s="1"/>
  <c r="B17" i="3" s="1"/>
  <c r="H53" i="4"/>
  <c r="H51" i="4"/>
  <c r="B50" i="4"/>
  <c r="H44" i="4"/>
  <c r="B43" i="4"/>
  <c r="G39" i="4"/>
  <c r="H37" i="4"/>
  <c r="H32" i="4"/>
  <c r="B29" i="4"/>
  <c r="H23" i="4"/>
  <c r="B22" i="4"/>
  <c r="H11" i="4"/>
  <c r="B8" i="4"/>
  <c r="B17" i="4"/>
  <c r="H19" i="4"/>
  <c r="H60" i="4"/>
  <c r="B65" i="4"/>
  <c r="B79" i="4"/>
  <c r="B86" i="4"/>
  <c r="H88" i="4"/>
  <c r="H102" i="4"/>
  <c r="B38" i="4"/>
  <c r="H40" i="4"/>
  <c r="H47" i="4"/>
  <c r="B52" i="4"/>
  <c r="G54" i="4"/>
  <c r="B59" i="4"/>
  <c r="H61" i="4"/>
  <c r="B66" i="4"/>
  <c r="B81" i="4"/>
  <c r="B19" i="2" s="1"/>
  <c r="B20" i="3" s="1"/>
  <c r="B87" i="4"/>
  <c r="B92" i="4"/>
  <c r="H94" i="4"/>
  <c r="H103" i="4"/>
  <c r="B102" i="4"/>
  <c r="B99" i="4"/>
  <c r="B97" i="4"/>
  <c r="B20" i="2" s="1"/>
  <c r="B21" i="3" s="1"/>
  <c r="H93" i="4"/>
  <c r="B90" i="4"/>
  <c r="H87" i="4"/>
  <c r="B84" i="4"/>
  <c r="H78" i="4"/>
  <c r="B72" i="4"/>
  <c r="H69" i="4"/>
  <c r="H66" i="4"/>
  <c r="B60" i="4"/>
  <c r="B58" i="4"/>
  <c r="B15" i="2" s="1"/>
  <c r="B16" i="3" s="1"/>
  <c r="H54" i="4"/>
  <c r="B51" i="4"/>
  <c r="B49" i="4"/>
  <c r="B14" i="2" s="1"/>
  <c r="B15" i="3" s="1"/>
  <c r="B46" i="4"/>
  <c r="B13" i="2" s="1"/>
  <c r="B14" i="3" s="1"/>
  <c r="H42" i="4"/>
  <c r="B39" i="4"/>
  <c r="H33" i="4"/>
  <c r="B24" i="4"/>
  <c r="H18" i="4"/>
  <c r="G17" i="4"/>
  <c r="B15" i="4"/>
  <c r="H12" i="4"/>
  <c r="B101" i="4"/>
  <c r="B21" i="2" s="1"/>
  <c r="B22" i="3" s="1"/>
  <c r="H98" i="4"/>
  <c r="B94" i="4"/>
  <c r="H92" i="4"/>
  <c r="B91" i="4"/>
  <c r="H89" i="4"/>
  <c r="C88" i="4"/>
  <c r="H74" i="4"/>
  <c r="B73" i="4"/>
  <c r="H71" i="4"/>
  <c r="B68" i="4"/>
  <c r="B17" i="2" s="1"/>
  <c r="B18" i="3" s="1"/>
  <c r="H65" i="4"/>
  <c r="B64" i="4"/>
  <c r="B44" i="4"/>
  <c r="B41" i="4"/>
  <c r="H39" i="4"/>
  <c r="C38" i="4"/>
  <c r="B36" i="4"/>
  <c r="B12" i="2" s="1"/>
  <c r="B13" i="3" s="1"/>
  <c r="B32" i="4"/>
  <c r="H25" i="4"/>
  <c r="B18" i="4"/>
  <c r="H16" i="4"/>
  <c r="H13" i="4"/>
  <c r="B10" i="4"/>
  <c r="B8" i="2" s="1"/>
  <c r="B9" i="3" s="1"/>
  <c r="H43" i="14"/>
  <c r="G240" i="5"/>
  <c r="G102" i="4" s="1"/>
  <c r="G227" i="5"/>
  <c r="G95" i="4" s="1"/>
  <c r="G218" i="5"/>
  <c r="G92" i="4" s="1"/>
  <c r="G209" i="5"/>
  <c r="G89" i="4" s="1"/>
  <c r="G200" i="5"/>
  <c r="G86" i="4" s="1"/>
  <c r="G191" i="5"/>
  <c r="G83" i="4" s="1"/>
  <c r="G181" i="5"/>
  <c r="G78" i="4" s="1"/>
  <c r="G171" i="5"/>
  <c r="G73" i="4" s="1"/>
  <c r="G162" i="5"/>
  <c r="G70" i="4" s="1"/>
  <c r="G152" i="5"/>
  <c r="G65" i="4" s="1"/>
  <c r="G141" i="5"/>
  <c r="G60" i="4" s="1"/>
  <c r="G131" i="5"/>
  <c r="G55" i="4" s="1"/>
  <c r="G117" i="5"/>
  <c r="G51" i="4" s="1"/>
  <c r="G105" i="5"/>
  <c r="G44" i="4" s="1"/>
  <c r="G93" i="5"/>
  <c r="G41" i="4" s="1"/>
  <c r="G83" i="5"/>
  <c r="G38" i="4" s="1"/>
  <c r="G73" i="5"/>
  <c r="G33" i="4" s="1"/>
  <c r="G60" i="5"/>
  <c r="G28" i="4" s="1"/>
  <c r="G48" i="5"/>
  <c r="G23" i="4" s="1"/>
  <c r="G33" i="5"/>
  <c r="G18" i="4" s="1"/>
  <c r="G21" i="5"/>
  <c r="G14" i="4" s="1"/>
  <c r="G12" i="5"/>
  <c r="G11" i="4" s="1"/>
  <c r="I572" i="6"/>
  <c r="J572" i="6" s="1"/>
  <c r="I575" i="6"/>
  <c r="J575" i="6" s="1"/>
  <c r="I808" i="8"/>
  <c r="J808" i="8" s="1"/>
  <c r="I230" i="9"/>
  <c r="J230" i="9" s="1"/>
  <c r="J231" i="9" s="1"/>
  <c r="I1384" i="7"/>
  <c r="J1384" i="7" s="1"/>
  <c r="J1385" i="7" s="1"/>
  <c r="I474" i="9"/>
  <c r="J474" i="9" s="1"/>
  <c r="I467" i="9"/>
  <c r="J467" i="9" s="1"/>
  <c r="I465" i="9"/>
  <c r="J465" i="9" s="1"/>
  <c r="I361" i="9"/>
  <c r="J361" i="9" s="1"/>
  <c r="I292" i="9"/>
  <c r="J292" i="9" s="1"/>
  <c r="J293" i="9" s="1"/>
  <c r="I258" i="9"/>
  <c r="J258" i="9" s="1"/>
  <c r="I251" i="9"/>
  <c r="J251" i="9" s="1"/>
  <c r="I249" i="9"/>
  <c r="J249" i="9" s="1"/>
  <c r="I242" i="9"/>
  <c r="J242" i="9" s="1"/>
  <c r="J243" i="9" s="1"/>
  <c r="I473" i="9"/>
  <c r="J473" i="9" s="1"/>
  <c r="I468" i="9"/>
  <c r="J468" i="9" s="1"/>
  <c r="I466" i="9"/>
  <c r="J466" i="9" s="1"/>
  <c r="I418" i="9"/>
  <c r="J418" i="9" s="1"/>
  <c r="I329" i="9"/>
  <c r="J329" i="9" s="1"/>
  <c r="I280" i="9"/>
  <c r="J280" i="9" s="1"/>
  <c r="I257" i="9"/>
  <c r="J257" i="9" s="1"/>
  <c r="I250" i="9"/>
  <c r="J250" i="9" s="1"/>
  <c r="I248" i="9"/>
  <c r="J248" i="9" s="1"/>
  <c r="L333" i="9"/>
  <c r="M333" i="9" s="1"/>
  <c r="L124" i="10"/>
  <c r="M124" i="10" s="1"/>
  <c r="I84" i="10"/>
  <c r="J84" i="10" s="1"/>
  <c r="I9" i="10"/>
  <c r="J9" i="10" s="1"/>
  <c r="I458" i="9"/>
  <c r="J458" i="9" s="1"/>
  <c r="I359" i="9"/>
  <c r="J359" i="9" s="1"/>
  <c r="I327" i="9"/>
  <c r="J327" i="9" s="1"/>
  <c r="I86" i="10"/>
  <c r="J86" i="10" s="1"/>
  <c r="I11" i="10"/>
  <c r="J11" i="10" s="1"/>
  <c r="I799" i="8"/>
  <c r="J799" i="8" s="1"/>
  <c r="I801" i="8"/>
  <c r="J801" i="8" s="1"/>
  <c r="I842" i="8"/>
  <c r="J842" i="8" s="1"/>
  <c r="J690" i="8" l="1"/>
  <c r="I1209" i="7" s="1"/>
  <c r="J1209" i="7" s="1"/>
  <c r="I88" i="6"/>
  <c r="M88" i="6" s="1"/>
  <c r="J91" i="6"/>
  <c r="J92" i="6" s="1"/>
  <c r="I16" i="4" s="1"/>
  <c r="I28" i="12" s="1"/>
  <c r="J31" i="8"/>
  <c r="I1433" i="7" s="1"/>
  <c r="J1433" i="7" s="1"/>
  <c r="M348" i="9"/>
  <c r="J34" i="7"/>
  <c r="I10" i="6" s="1"/>
  <c r="J10" i="6" s="1"/>
  <c r="J88" i="9"/>
  <c r="J821" i="7"/>
  <c r="I800" i="7" s="1"/>
  <c r="M800" i="7" s="1"/>
  <c r="J137" i="8"/>
  <c r="I102" i="7" s="1"/>
  <c r="J102" i="7" s="1"/>
  <c r="I370" i="9"/>
  <c r="M370" i="9" s="1"/>
  <c r="J725" i="7"/>
  <c r="I716" i="7" s="1"/>
  <c r="M716" i="7" s="1"/>
  <c r="I595" i="8"/>
  <c r="J595" i="8" s="1"/>
  <c r="J152" i="7"/>
  <c r="I130" i="7" s="1"/>
  <c r="M130" i="7" s="1"/>
  <c r="I460" i="9"/>
  <c r="J460" i="9" s="1"/>
  <c r="J162" i="8"/>
  <c r="I103" i="7" s="1"/>
  <c r="J103" i="7" s="1"/>
  <c r="J55" i="10"/>
  <c r="I29" i="10" s="1"/>
  <c r="M29" i="10" s="1"/>
  <c r="J112" i="9"/>
  <c r="I91" i="9" s="1"/>
  <c r="M91" i="9" s="1"/>
  <c r="I385" i="9"/>
  <c r="M385" i="9" s="1"/>
  <c r="J281" i="9"/>
  <c r="J293" i="8"/>
  <c r="J773" i="8"/>
  <c r="J419" i="9"/>
  <c r="I410" i="9" s="1"/>
  <c r="M410" i="9" s="1"/>
  <c r="M338" i="9"/>
  <c r="M577" i="8"/>
  <c r="J843" i="8"/>
  <c r="J121" i="10"/>
  <c r="I112" i="10" s="1"/>
  <c r="M112" i="10" s="1"/>
  <c r="J127" i="7"/>
  <c r="I108" i="7" s="1"/>
  <c r="M108" i="7" s="1"/>
  <c r="J1373" i="7"/>
  <c r="I649" i="6" s="1"/>
  <c r="J649" i="6" s="1"/>
  <c r="J721" i="8"/>
  <c r="I1065" i="7" s="1"/>
  <c r="J1065" i="7" s="1"/>
  <c r="J79" i="10"/>
  <c r="I44" i="9" s="1"/>
  <c r="J44" i="9" s="1"/>
  <c r="J200" i="8"/>
  <c r="I176" i="7" s="1"/>
  <c r="J176" i="7" s="1"/>
  <c r="J1350" i="7"/>
  <c r="I1331" i="7" s="1"/>
  <c r="M1331" i="7" s="1"/>
  <c r="I588" i="8"/>
  <c r="J588" i="8" s="1"/>
  <c r="I229" i="6"/>
  <c r="J229" i="6" s="1"/>
  <c r="I363" i="6"/>
  <c r="J363" i="6" s="1"/>
  <c r="I119" i="6"/>
  <c r="J119" i="6" s="1"/>
  <c r="I517" i="6"/>
  <c r="J517" i="6" s="1"/>
  <c r="I668" i="6"/>
  <c r="J668" i="6" s="1"/>
  <c r="I659" i="6"/>
  <c r="J659" i="6" s="1"/>
  <c r="I617" i="6"/>
  <c r="J617" i="6" s="1"/>
  <c r="I506" i="6"/>
  <c r="J506" i="6" s="1"/>
  <c r="I39" i="6"/>
  <c r="J39" i="6" s="1"/>
  <c r="I629" i="6"/>
  <c r="J629" i="6" s="1"/>
  <c r="I448" i="6"/>
  <c r="J448" i="6" s="1"/>
  <c r="I565" i="6"/>
  <c r="J565" i="6" s="1"/>
  <c r="I349" i="6"/>
  <c r="J349" i="6" s="1"/>
  <c r="I316" i="6"/>
  <c r="J316" i="6" s="1"/>
  <c r="I753" i="6"/>
  <c r="J753" i="6" s="1"/>
  <c r="I423" i="6"/>
  <c r="J423" i="6" s="1"/>
  <c r="I717" i="6"/>
  <c r="J717" i="6" s="1"/>
  <c r="I605" i="6"/>
  <c r="J605" i="6" s="1"/>
  <c r="I494" i="6"/>
  <c r="J494" i="6" s="1"/>
  <c r="I395" i="6"/>
  <c r="J395" i="6" s="1"/>
  <c r="I386" i="6"/>
  <c r="J386" i="6" s="1"/>
  <c r="I375" i="6"/>
  <c r="J375" i="6" s="1"/>
  <c r="J172" i="9"/>
  <c r="I229" i="8" s="1"/>
  <c r="J229" i="8" s="1"/>
  <c r="J43" i="8"/>
  <c r="I1358" i="7" s="1"/>
  <c r="J1358" i="7" s="1"/>
  <c r="I412" i="6"/>
  <c r="J412" i="6" s="1"/>
  <c r="I422" i="6"/>
  <c r="J422" i="6" s="1"/>
  <c r="I707" i="6"/>
  <c r="J707" i="6" s="1"/>
  <c r="I627" i="6"/>
  <c r="J627" i="6" s="1"/>
  <c r="I716" i="6"/>
  <c r="J716" i="6" s="1"/>
  <c r="I667" i="6"/>
  <c r="J667" i="6" s="1"/>
  <c r="I658" i="6"/>
  <c r="J658" i="6" s="1"/>
  <c r="I751" i="6"/>
  <c r="J751" i="6" s="1"/>
  <c r="I564" i="6"/>
  <c r="J564" i="6" s="1"/>
  <c r="I348" i="6"/>
  <c r="J348" i="6" s="1"/>
  <c r="I315" i="6"/>
  <c r="J315" i="6" s="1"/>
  <c r="I628" i="6"/>
  <c r="J628" i="6" s="1"/>
  <c r="I604" i="6"/>
  <c r="J604" i="6" s="1"/>
  <c r="I394" i="6"/>
  <c r="J394" i="6" s="1"/>
  <c r="I385" i="6"/>
  <c r="J385" i="6" s="1"/>
  <c r="I374" i="6"/>
  <c r="J374" i="6" s="1"/>
  <c r="I362" i="6"/>
  <c r="J362" i="6" s="1"/>
  <c r="I118" i="6"/>
  <c r="J118" i="6" s="1"/>
  <c r="J766" i="7"/>
  <c r="I740" i="7" s="1"/>
  <c r="M740" i="7" s="1"/>
  <c r="B7" i="2"/>
  <c r="B8" i="3" s="1"/>
  <c r="H7" i="17"/>
  <c r="H9" i="17"/>
  <c r="H8" i="17"/>
  <c r="I778" i="6"/>
  <c r="M778" i="6" s="1"/>
  <c r="J105" i="6"/>
  <c r="J106" i="6" s="1"/>
  <c r="I19" i="4" s="1"/>
  <c r="I61" i="12" s="1"/>
  <c r="K54" i="4"/>
  <c r="K23" i="12" s="1"/>
  <c r="K17" i="4"/>
  <c r="I1327" i="7"/>
  <c r="J1327" i="7" s="1"/>
  <c r="J1328" i="7" s="1"/>
  <c r="G8" i="17"/>
  <c r="G9" i="17"/>
  <c r="C7" i="17"/>
  <c r="C8" i="17"/>
  <c r="C9" i="17"/>
  <c r="G7" i="17"/>
  <c r="J89" i="8"/>
  <c r="I1088" i="7" s="1"/>
  <c r="J1088" i="7" s="1"/>
  <c r="J68" i="9"/>
  <c r="I252" i="8" s="1"/>
  <c r="J252" i="8" s="1"/>
  <c r="J98" i="6"/>
  <c r="J99" i="6" s="1"/>
  <c r="I18" i="4" s="1"/>
  <c r="I60" i="12" s="1"/>
  <c r="I827" i="7"/>
  <c r="J827" i="7" s="1"/>
  <c r="I187" i="6"/>
  <c r="J187" i="6" s="1"/>
  <c r="I439" i="7"/>
  <c r="J439" i="7" s="1"/>
  <c r="I528" i="7"/>
  <c r="J528" i="7" s="1"/>
  <c r="I466" i="7"/>
  <c r="J466" i="7" s="1"/>
  <c r="I430" i="7"/>
  <c r="J430" i="7" s="1"/>
  <c r="I412" i="7"/>
  <c r="J412" i="7" s="1"/>
  <c r="I448" i="7"/>
  <c r="J448" i="7" s="1"/>
  <c r="I569" i="7"/>
  <c r="J569" i="7" s="1"/>
  <c r="I414" i="8"/>
  <c r="M414" i="8" s="1"/>
  <c r="I421" i="7"/>
  <c r="J421" i="7" s="1"/>
  <c r="I551" i="7"/>
  <c r="J551" i="7" s="1"/>
  <c r="I457" i="7"/>
  <c r="J457" i="7" s="1"/>
  <c r="I474" i="7"/>
  <c r="J474" i="7" s="1"/>
  <c r="I501" i="7"/>
  <c r="J501" i="7" s="1"/>
  <c r="I483" i="7"/>
  <c r="J483" i="7" s="1"/>
  <c r="I560" i="7"/>
  <c r="J560" i="7" s="1"/>
  <c r="I492" i="7"/>
  <c r="J492" i="7" s="1"/>
  <c r="I1236" i="7"/>
  <c r="J1236" i="7" s="1"/>
  <c r="I230" i="6"/>
  <c r="J230" i="6" s="1"/>
  <c r="I789" i="6"/>
  <c r="J789" i="6" s="1"/>
  <c r="J790" i="6" s="1"/>
  <c r="I785" i="6" s="1"/>
  <c r="M785" i="6" s="1"/>
  <c r="I1277" i="7"/>
  <c r="J1277" i="7" s="1"/>
  <c r="I1426" i="7"/>
  <c r="J1426" i="7" s="1"/>
  <c r="I1419" i="7"/>
  <c r="J1419" i="7" s="1"/>
  <c r="I1191" i="7"/>
  <c r="J1191" i="7" s="1"/>
  <c r="I308" i="8"/>
  <c r="M308" i="8" s="1"/>
  <c r="I1412" i="7"/>
  <c r="J1412" i="7" s="1"/>
  <c r="I1405" i="7"/>
  <c r="J1405" i="7" s="1"/>
  <c r="J1406" i="7" s="1"/>
  <c r="I1402" i="7" s="1"/>
  <c r="M1402" i="7" s="1"/>
  <c r="I323" i="7"/>
  <c r="J323" i="7" s="1"/>
  <c r="I146" i="9"/>
  <c r="M146" i="9" s="1"/>
  <c r="I244" i="8"/>
  <c r="J244" i="8" s="1"/>
  <c r="I609" i="7"/>
  <c r="M609" i="7" s="1"/>
  <c r="I203" i="6"/>
  <c r="J203" i="6" s="1"/>
  <c r="I218" i="6"/>
  <c r="J218" i="6" s="1"/>
  <c r="I1200" i="7"/>
  <c r="J1200" i="7" s="1"/>
  <c r="J57" i="8"/>
  <c r="I776" i="7" s="1"/>
  <c r="J776" i="7" s="1"/>
  <c r="I1261" i="7"/>
  <c r="J1261" i="7" s="1"/>
  <c r="I1182" i="7"/>
  <c r="J1182" i="7" s="1"/>
  <c r="I1218" i="7"/>
  <c r="J1218" i="7" s="1"/>
  <c r="I1391" i="7"/>
  <c r="J1391" i="7" s="1"/>
  <c r="I186" i="6"/>
  <c r="J186" i="6" s="1"/>
  <c r="I167" i="7"/>
  <c r="J167" i="7" s="1"/>
  <c r="I1398" i="7"/>
  <c r="J1398" i="7" s="1"/>
  <c r="J1399" i="7" s="1"/>
  <c r="I1395" i="7" s="1"/>
  <c r="M1395" i="7" s="1"/>
  <c r="I571" i="6"/>
  <c r="J571" i="6" s="1"/>
  <c r="I573" i="6"/>
  <c r="J573" i="6" s="1"/>
  <c r="I185" i="7"/>
  <c r="J185" i="7" s="1"/>
  <c r="I310" i="7"/>
  <c r="J310" i="7" s="1"/>
  <c r="I256" i="9"/>
  <c r="J256" i="9" s="1"/>
  <c r="J259" i="9" s="1"/>
  <c r="I1254" i="7"/>
  <c r="J1254" i="7" s="1"/>
  <c r="G14" i="12"/>
  <c r="I600" i="8"/>
  <c r="M600" i="8" s="1"/>
  <c r="I837" i="7"/>
  <c r="J837" i="7" s="1"/>
  <c r="I228" i="8"/>
  <c r="J228" i="8" s="1"/>
  <c r="I948" i="7"/>
  <c r="J948" i="7" s="1"/>
  <c r="I1282" i="7"/>
  <c r="J1282" i="7" s="1"/>
  <c r="G62" i="12"/>
  <c r="I739" i="8"/>
  <c r="J739" i="8" s="1"/>
  <c r="I1099" i="7"/>
  <c r="J1099" i="7" s="1"/>
  <c r="I1126" i="7"/>
  <c r="J1126" i="7" s="1"/>
  <c r="I302" i="8"/>
  <c r="M302" i="8" s="1"/>
  <c r="I869" i="7"/>
  <c r="J869" i="7" s="1"/>
  <c r="I314" i="7"/>
  <c r="J314" i="7" s="1"/>
  <c r="I247" i="9"/>
  <c r="J247" i="9" s="1"/>
  <c r="J252" i="9" s="1"/>
  <c r="I1021" i="7"/>
  <c r="J1021" i="7" s="1"/>
  <c r="I296" i="8"/>
  <c r="M296" i="8" s="1"/>
  <c r="I253" i="8"/>
  <c r="J253" i="8" s="1"/>
  <c r="C14" i="12"/>
  <c r="I512" i="8"/>
  <c r="M512" i="8" s="1"/>
  <c r="H58" i="12"/>
  <c r="I194" i="7"/>
  <c r="J194" i="7" s="1"/>
  <c r="I271" i="7"/>
  <c r="J271" i="7" s="1"/>
  <c r="C47" i="12"/>
  <c r="I1432" i="7"/>
  <c r="J1432" i="7" s="1"/>
  <c r="I313" i="7"/>
  <c r="J313" i="7" s="1"/>
  <c r="C10" i="12"/>
  <c r="I587" i="6"/>
  <c r="J587" i="6" s="1"/>
  <c r="I1446" i="7"/>
  <c r="J1446" i="7" s="1"/>
  <c r="I262" i="7"/>
  <c r="J262" i="7" s="1"/>
  <c r="C12" i="12"/>
  <c r="I181" i="8"/>
  <c r="M181" i="8" s="1"/>
  <c r="I253" i="7"/>
  <c r="J253" i="7" s="1"/>
  <c r="I140" i="8"/>
  <c r="M140" i="8" s="1"/>
  <c r="I213" i="7"/>
  <c r="J213" i="7" s="1"/>
  <c r="I232" i="7"/>
  <c r="J232" i="7" s="1"/>
  <c r="J233" i="7" s="1"/>
  <c r="I228" i="7" s="1"/>
  <c r="M228" i="7" s="1"/>
  <c r="G25" i="12"/>
  <c r="I509" i="7"/>
  <c r="J509" i="7" s="1"/>
  <c r="I337" i="7"/>
  <c r="J337" i="7" s="1"/>
  <c r="J340" i="7" s="1"/>
  <c r="I336" i="7" s="1"/>
  <c r="M336" i="7" s="1"/>
  <c r="I7" i="7"/>
  <c r="M7" i="7" s="1"/>
  <c r="I1245" i="7"/>
  <c r="J1245" i="7" s="1"/>
  <c r="G31" i="12"/>
  <c r="C32" i="12"/>
  <c r="I574" i="6"/>
  <c r="J574" i="6" s="1"/>
  <c r="I102" i="4"/>
  <c r="I49" i="12" s="1"/>
  <c r="I235" i="8"/>
  <c r="J235" i="8" s="1"/>
  <c r="J236" i="8" s="1"/>
  <c r="I233" i="8" s="1"/>
  <c r="M233" i="8" s="1"/>
  <c r="I730" i="8"/>
  <c r="J730" i="8" s="1"/>
  <c r="J731" i="8" s="1"/>
  <c r="I1070" i="7" s="1"/>
  <c r="J1070" i="7" s="1"/>
  <c r="I244" i="7"/>
  <c r="J244" i="7" s="1"/>
  <c r="I1276" i="7"/>
  <c r="J1276" i="7" s="1"/>
  <c r="I965" i="7"/>
  <c r="J965" i="7" s="1"/>
  <c r="I1199" i="7"/>
  <c r="J1199" i="7" s="1"/>
  <c r="I1181" i="7"/>
  <c r="J1181" i="7" s="1"/>
  <c r="I928" i="7"/>
  <c r="J928" i="7" s="1"/>
  <c r="I1043" i="7"/>
  <c r="J1043" i="7" s="1"/>
  <c r="I1390" i="7"/>
  <c r="J1390" i="7" s="1"/>
  <c r="I314" i="8"/>
  <c r="M314" i="8" s="1"/>
  <c r="I789" i="8"/>
  <c r="J789" i="8" s="1"/>
  <c r="J790" i="8" s="1"/>
  <c r="I785" i="8" s="1"/>
  <c r="M785" i="8" s="1"/>
  <c r="I1227" i="7"/>
  <c r="J1227" i="7" s="1"/>
  <c r="I1171" i="7"/>
  <c r="J1171" i="7" s="1"/>
  <c r="H50" i="12"/>
  <c r="C19" i="12"/>
  <c r="G23" i="12"/>
  <c r="I781" i="8"/>
  <c r="J781" i="8" s="1"/>
  <c r="J782" i="8" s="1"/>
  <c r="I1106" i="7" s="1"/>
  <c r="J1106" i="7" s="1"/>
  <c r="I752" i="8"/>
  <c r="J752" i="8" s="1"/>
  <c r="J753" i="8" s="1"/>
  <c r="I1076" i="7" s="1"/>
  <c r="J1076" i="7" s="1"/>
  <c r="I633" i="7"/>
  <c r="J633" i="7" s="1"/>
  <c r="J638" i="7" s="1"/>
  <c r="I1108" i="7"/>
  <c r="J1108" i="7" s="1"/>
  <c r="I985" i="7"/>
  <c r="J985" i="7" s="1"/>
  <c r="I1208" i="7"/>
  <c r="J1208" i="7" s="1"/>
  <c r="J1210" i="7" s="1"/>
  <c r="I1204" i="7" s="1"/>
  <c r="M1204" i="7" s="1"/>
  <c r="I1005" i="7"/>
  <c r="J1005" i="7" s="1"/>
  <c r="I847" i="7"/>
  <c r="J847" i="7" s="1"/>
  <c r="I975" i="7"/>
  <c r="J975" i="7" s="1"/>
  <c r="I1135" i="7"/>
  <c r="J1135" i="7" s="1"/>
  <c r="I1268" i="7"/>
  <c r="J1268" i="7" s="1"/>
  <c r="H33" i="12"/>
  <c r="G41" i="12"/>
  <c r="C64" i="12"/>
  <c r="I49" i="9"/>
  <c r="M49" i="9" s="1"/>
  <c r="I106" i="8"/>
  <c r="J106" i="8" s="1"/>
  <c r="I1117" i="7"/>
  <c r="J1117" i="7" s="1"/>
  <c r="I918" i="7"/>
  <c r="J918" i="7" s="1"/>
  <c r="I1260" i="7"/>
  <c r="J1260" i="7" s="1"/>
  <c r="I1190" i="7"/>
  <c r="J1190" i="7" s="1"/>
  <c r="I863" i="7"/>
  <c r="J863" i="7" s="1"/>
  <c r="I995" i="7"/>
  <c r="J995" i="7" s="1"/>
  <c r="I1144" i="7"/>
  <c r="J1144" i="7" s="1"/>
  <c r="C21" i="12"/>
  <c r="G46" i="12"/>
  <c r="I212" i="8"/>
  <c r="J212" i="8" s="1"/>
  <c r="I243" i="8"/>
  <c r="J243" i="8" s="1"/>
  <c r="I111" i="8"/>
  <c r="M111" i="8" s="1"/>
  <c r="I669" i="8"/>
  <c r="M669" i="8" s="1"/>
  <c r="I1217" i="7"/>
  <c r="J1217" i="7" s="1"/>
  <c r="I900" i="7"/>
  <c r="J900" i="7" s="1"/>
  <c r="I880" i="7"/>
  <c r="J880" i="7" s="1"/>
  <c r="I890" i="7"/>
  <c r="J890" i="7" s="1"/>
  <c r="I1015" i="7"/>
  <c r="J1015" i="7" s="1"/>
  <c r="I1153" i="7"/>
  <c r="J1153" i="7" s="1"/>
  <c r="C23" i="12"/>
  <c r="I176" i="8"/>
  <c r="J176" i="8" s="1"/>
  <c r="I1037" i="7"/>
  <c r="J1037" i="7" s="1"/>
  <c r="I857" i="7"/>
  <c r="J857" i="7" s="1"/>
  <c r="I958" i="7"/>
  <c r="J958" i="7" s="1"/>
  <c r="I938" i="7"/>
  <c r="J938" i="7" s="1"/>
  <c r="I910" i="7"/>
  <c r="J910" i="7" s="1"/>
  <c r="I1029" i="7"/>
  <c r="J1029" i="7" s="1"/>
  <c r="I219" i="6"/>
  <c r="J219" i="6" s="1"/>
  <c r="I18" i="6"/>
  <c r="J18" i="6" s="1"/>
  <c r="I326" i="6"/>
  <c r="J326" i="6" s="1"/>
  <c r="I252" i="6"/>
  <c r="J252" i="6" s="1"/>
  <c r="I327" i="6"/>
  <c r="J327" i="6" s="1"/>
  <c r="I762" i="6"/>
  <c r="J762" i="6" s="1"/>
  <c r="I261" i="6"/>
  <c r="J261" i="6" s="1"/>
  <c r="J99" i="10"/>
  <c r="I133" i="9" s="1"/>
  <c r="J133" i="9" s="1"/>
  <c r="C30" i="12"/>
  <c r="G61" i="12"/>
  <c r="G7" i="12"/>
  <c r="H17" i="12"/>
  <c r="G40" i="12"/>
  <c r="G9" i="12"/>
  <c r="I23" i="12"/>
  <c r="C56" i="12"/>
  <c r="C13" i="12"/>
  <c r="G32" i="12"/>
  <c r="C61" i="12"/>
  <c r="G18" i="12"/>
  <c r="H37" i="12"/>
  <c r="H73" i="12"/>
  <c r="C22" i="12"/>
  <c r="C40" i="12"/>
  <c r="H72" i="12"/>
  <c r="J330" i="9"/>
  <c r="I548" i="8" s="1"/>
  <c r="J548" i="8" s="1"/>
  <c r="J551" i="8" s="1"/>
  <c r="G37" i="12"/>
  <c r="G22" i="12"/>
  <c r="G33" i="12"/>
  <c r="C28" i="12"/>
  <c r="G19" i="12"/>
  <c r="H69" i="12"/>
  <c r="G11" i="12"/>
  <c r="J809" i="8"/>
  <c r="I806" i="8" s="1"/>
  <c r="M806" i="8" s="1"/>
  <c r="C60" i="12"/>
  <c r="C48" i="12"/>
  <c r="G10" i="12"/>
  <c r="G28" i="12"/>
  <c r="H53" i="12"/>
  <c r="C20" i="12"/>
  <c r="G39" i="12"/>
  <c r="G63" i="12"/>
  <c r="C25" i="12"/>
  <c r="I40" i="12"/>
  <c r="C11" i="12"/>
  <c r="C29" i="12"/>
  <c r="C59" i="12"/>
  <c r="H12" i="12"/>
  <c r="G29" i="12"/>
  <c r="H48" i="12"/>
  <c r="I305" i="6"/>
  <c r="J305" i="6" s="1"/>
  <c r="I728" i="7"/>
  <c r="M728" i="7" s="1"/>
  <c r="C9" i="12"/>
  <c r="G52" i="12"/>
  <c r="G15" i="12"/>
  <c r="C62" i="12"/>
  <c r="G20" i="12"/>
  <c r="C37" i="12"/>
  <c r="G24" i="12"/>
  <c r="G48" i="12"/>
  <c r="G47" i="12"/>
  <c r="J362" i="9"/>
  <c r="I583" i="8" s="1"/>
  <c r="J583" i="8" s="1"/>
  <c r="J589" i="8" s="1"/>
  <c r="C24" i="12"/>
  <c r="C18" i="12"/>
  <c r="G55" i="12"/>
  <c r="C15" i="12"/>
  <c r="C33" i="12"/>
  <c r="C63" i="12"/>
  <c r="G21" i="12"/>
  <c r="C44" i="12"/>
  <c r="C7" i="12"/>
  <c r="G26" i="12"/>
  <c r="C55" i="12"/>
  <c r="G12" i="12"/>
  <c r="G30" i="12"/>
  <c r="G60" i="12"/>
  <c r="C16" i="12"/>
  <c r="C34" i="12"/>
  <c r="C52" i="12"/>
  <c r="I688" i="6"/>
  <c r="J688" i="6" s="1"/>
  <c r="G71" i="12"/>
  <c r="G67" i="12"/>
  <c r="H32" i="12"/>
  <c r="G13" i="12"/>
  <c r="G16" i="12"/>
  <c r="C39" i="12"/>
  <c r="C8" i="12"/>
  <c r="H22" i="12"/>
  <c r="G51" i="12"/>
  <c r="G8" i="12"/>
  <c r="C31" i="12"/>
  <c r="G56" i="12"/>
  <c r="C17" i="12"/>
  <c r="C35" i="12"/>
  <c r="G66" i="12"/>
  <c r="G17" i="12"/>
  <c r="G35" i="12"/>
  <c r="I507" i="8"/>
  <c r="J507" i="8" s="1"/>
  <c r="I500" i="8"/>
  <c r="J500" i="8" s="1"/>
  <c r="I493" i="8"/>
  <c r="J493" i="8" s="1"/>
  <c r="I447" i="8"/>
  <c r="J447" i="8" s="1"/>
  <c r="I454" i="8"/>
  <c r="J454" i="8" s="1"/>
  <c r="I461" i="8"/>
  <c r="J461" i="8" s="1"/>
  <c r="I468" i="8"/>
  <c r="J468" i="8" s="1"/>
  <c r="I440" i="8"/>
  <c r="J440" i="8" s="1"/>
  <c r="I272" i="9"/>
  <c r="M272" i="9" s="1"/>
  <c r="I81" i="6"/>
  <c r="J81" i="6" s="1"/>
  <c r="J83" i="6" s="1"/>
  <c r="I404" i="6"/>
  <c r="J404" i="6" s="1"/>
  <c r="I19" i="6"/>
  <c r="J19" i="6" s="1"/>
  <c r="I60" i="7"/>
  <c r="M60" i="7" s="1"/>
  <c r="I273" i="6"/>
  <c r="J273" i="6" s="1"/>
  <c r="I144" i="6"/>
  <c r="J144" i="6" s="1"/>
  <c r="I244" i="6"/>
  <c r="J244" i="6" s="1"/>
  <c r="I111" i="6"/>
  <c r="J111" i="6" s="1"/>
  <c r="I328" i="6"/>
  <c r="J328" i="6" s="1"/>
  <c r="I413" i="6"/>
  <c r="J413" i="6" s="1"/>
  <c r="I763" i="6"/>
  <c r="J763" i="6" s="1"/>
  <c r="I253" i="6"/>
  <c r="J253" i="6" s="1"/>
  <c r="I306" i="6"/>
  <c r="J306" i="6" s="1"/>
  <c r="I73" i="6"/>
  <c r="J73" i="6" s="1"/>
  <c r="I9" i="6"/>
  <c r="J9" i="6" s="1"/>
  <c r="I17" i="7"/>
  <c r="M17" i="7" s="1"/>
  <c r="J26" i="10"/>
  <c r="J475" i="9"/>
  <c r="I375" i="8"/>
  <c r="J375" i="8" s="1"/>
  <c r="I398" i="8"/>
  <c r="J398" i="8" s="1"/>
  <c r="I407" i="8"/>
  <c r="J407" i="8" s="1"/>
  <c r="I387" i="8"/>
  <c r="J387" i="8" s="1"/>
  <c r="I560" i="8"/>
  <c r="J560" i="8" s="1"/>
  <c r="I222" i="9"/>
  <c r="M222" i="9" s="1"/>
  <c r="H68" i="12"/>
  <c r="G43" i="12"/>
  <c r="H23" i="12"/>
  <c r="C45" i="12"/>
  <c r="H59" i="12"/>
  <c r="H28" i="12"/>
  <c r="C50" i="12"/>
  <c r="G57" i="12"/>
  <c r="H64" i="12"/>
  <c r="H39" i="12"/>
  <c r="G68" i="12"/>
  <c r="H7" i="12"/>
  <c r="G36" i="12"/>
  <c r="H43" i="12"/>
  <c r="C65" i="12"/>
  <c r="G72" i="12"/>
  <c r="H18" i="12"/>
  <c r="H54" i="12"/>
  <c r="I134" i="6"/>
  <c r="J134" i="6" s="1"/>
  <c r="I663" i="7"/>
  <c r="J663" i="7" s="1"/>
  <c r="I774" i="7"/>
  <c r="J774" i="7" s="1"/>
  <c r="I303" i="7"/>
  <c r="J303" i="7" s="1"/>
  <c r="I42" i="7"/>
  <c r="J42" i="7" s="1"/>
  <c r="I34" i="8"/>
  <c r="M34" i="8" s="1"/>
  <c r="J469" i="9"/>
  <c r="H8" i="12"/>
  <c r="H38" i="12"/>
  <c r="H62" i="12"/>
  <c r="C42" i="12"/>
  <c r="H14" i="12"/>
  <c r="H11" i="12"/>
  <c r="H47" i="12"/>
  <c r="C69" i="12"/>
  <c r="H16" i="12"/>
  <c r="C38" i="12"/>
  <c r="G45" i="12"/>
  <c r="H52" i="12"/>
  <c r="C74" i="12"/>
  <c r="H27" i="12"/>
  <c r="C49" i="12"/>
  <c r="H63" i="12"/>
  <c r="H31" i="12"/>
  <c r="C53" i="12"/>
  <c r="H67" i="12"/>
  <c r="H42" i="12"/>
  <c r="G65" i="12"/>
  <c r="I262" i="6"/>
  <c r="J262" i="6" s="1"/>
  <c r="C70" i="12"/>
  <c r="I508" i="7"/>
  <c r="J508" i="7" s="1"/>
  <c r="I404" i="7"/>
  <c r="J404" i="7" s="1"/>
  <c r="I362" i="7"/>
  <c r="J362" i="7" s="1"/>
  <c r="I350" i="7"/>
  <c r="J350" i="7" s="1"/>
  <c r="I580" i="7"/>
  <c r="J580" i="7" s="1"/>
  <c r="I394" i="7"/>
  <c r="J394" i="7" s="1"/>
  <c r="I542" i="7"/>
  <c r="J542" i="7" s="1"/>
  <c r="I626" i="7"/>
  <c r="J626" i="7" s="1"/>
  <c r="I383" i="7"/>
  <c r="J383" i="7" s="1"/>
  <c r="I372" i="7"/>
  <c r="J372" i="7" s="1"/>
  <c r="I358" i="8"/>
  <c r="M358" i="8" s="1"/>
  <c r="I1283" i="7"/>
  <c r="J1283" i="7" s="1"/>
  <c r="I1038" i="7"/>
  <c r="J1038" i="7" s="1"/>
  <c r="I1022" i="7"/>
  <c r="J1022" i="7" s="1"/>
  <c r="I1006" i="7"/>
  <c r="J1006" i="7" s="1"/>
  <c r="I986" i="7"/>
  <c r="J986" i="7" s="1"/>
  <c r="I966" i="7"/>
  <c r="J966" i="7" s="1"/>
  <c r="I959" i="7"/>
  <c r="J959" i="7" s="1"/>
  <c r="I939" i="7"/>
  <c r="J939" i="7" s="1"/>
  <c r="I919" i="7"/>
  <c r="J919" i="7" s="1"/>
  <c r="I901" i="7"/>
  <c r="J901" i="7" s="1"/>
  <c r="I881" i="7"/>
  <c r="J881" i="7" s="1"/>
  <c r="I870" i="7"/>
  <c r="J870" i="7" s="1"/>
  <c r="I858" i="7"/>
  <c r="J858" i="7" s="1"/>
  <c r="I838" i="7"/>
  <c r="J838" i="7" s="1"/>
  <c r="I1228" i="7"/>
  <c r="J1228" i="7" s="1"/>
  <c r="I1172" i="7"/>
  <c r="J1172" i="7" s="1"/>
  <c r="I929" i="7"/>
  <c r="J929" i="7" s="1"/>
  <c r="I1237" i="7"/>
  <c r="J1237" i="7" s="1"/>
  <c r="I1127" i="7"/>
  <c r="J1127" i="7" s="1"/>
  <c r="I1044" i="7"/>
  <c r="J1044" i="7" s="1"/>
  <c r="I996" i="7"/>
  <c r="J996" i="7" s="1"/>
  <c r="I828" i="7"/>
  <c r="J828" i="7" s="1"/>
  <c r="I1246" i="7"/>
  <c r="J1246" i="7" s="1"/>
  <c r="I1136" i="7"/>
  <c r="J1136" i="7" s="1"/>
  <c r="I949" i="7"/>
  <c r="J949" i="7" s="1"/>
  <c r="I891" i="7"/>
  <c r="J891" i="7" s="1"/>
  <c r="I1255" i="7"/>
  <c r="J1255" i="7" s="1"/>
  <c r="I1145" i="7"/>
  <c r="J1145" i="7" s="1"/>
  <c r="I1016" i="7"/>
  <c r="J1016" i="7" s="1"/>
  <c r="I1154" i="7"/>
  <c r="J1154" i="7" s="1"/>
  <c r="I911" i="7"/>
  <c r="J911" i="7" s="1"/>
  <c r="I976" i="7"/>
  <c r="J976" i="7" s="1"/>
  <c r="I864" i="7"/>
  <c r="J864" i="7" s="1"/>
  <c r="I1269" i="7"/>
  <c r="J1269" i="7" s="1"/>
  <c r="I1163" i="7"/>
  <c r="J1163" i="7" s="1"/>
  <c r="J1164" i="7" s="1"/>
  <c r="I1030" i="7"/>
  <c r="J1030" i="7" s="1"/>
  <c r="I848" i="7"/>
  <c r="J848" i="7" s="1"/>
  <c r="I681" i="8"/>
  <c r="M681" i="8" s="1"/>
  <c r="I1425" i="7"/>
  <c r="J1425" i="7" s="1"/>
  <c r="I1418" i="7"/>
  <c r="J1418" i="7" s="1"/>
  <c r="I1411" i="7"/>
  <c r="J1411" i="7" s="1"/>
  <c r="I834" i="8"/>
  <c r="M834" i="8" s="1"/>
  <c r="I696" i="8"/>
  <c r="J696" i="8" s="1"/>
  <c r="J697" i="8" s="1"/>
  <c r="H44" i="12"/>
  <c r="H74" i="12"/>
  <c r="H26" i="12"/>
  <c r="G49" i="12"/>
  <c r="C27" i="12"/>
  <c r="G34" i="12"/>
  <c r="H41" i="12"/>
  <c r="G70" i="12"/>
  <c r="H10" i="12"/>
  <c r="H46" i="12"/>
  <c r="C68" i="12"/>
  <c r="H21" i="12"/>
  <c r="C43" i="12"/>
  <c r="G50" i="12"/>
  <c r="H57" i="12"/>
  <c r="H25" i="12"/>
  <c r="G54" i="12"/>
  <c r="H61" i="12"/>
  <c r="H36" i="12"/>
  <c r="C58" i="12"/>
  <c r="H66" i="12"/>
  <c r="I640" i="6"/>
  <c r="J640" i="6" s="1"/>
  <c r="I1376" i="7"/>
  <c r="M1376" i="7" s="1"/>
  <c r="I678" i="6"/>
  <c r="J678" i="6" s="1"/>
  <c r="I698" i="6"/>
  <c r="J698" i="6" s="1"/>
  <c r="I650" i="6"/>
  <c r="J650" i="6" s="1"/>
  <c r="C66" i="12"/>
  <c r="C54" i="12"/>
  <c r="H56" i="12"/>
  <c r="C72" i="12"/>
  <c r="H35" i="12"/>
  <c r="C57" i="12"/>
  <c r="G64" i="12"/>
  <c r="H71" i="12"/>
  <c r="C26" i="12"/>
  <c r="H40" i="12"/>
  <c r="G69" i="12"/>
  <c r="H15" i="12"/>
  <c r="G44" i="12"/>
  <c r="H51" i="12"/>
  <c r="C73" i="12"/>
  <c r="H19" i="12"/>
  <c r="C41" i="12"/>
  <c r="H55" i="12"/>
  <c r="H30" i="12"/>
  <c r="G59" i="12"/>
  <c r="I341" i="6"/>
  <c r="J341" i="6" s="1"/>
  <c r="I27" i="7"/>
  <c r="M27" i="7" s="1"/>
  <c r="I586" i="6"/>
  <c r="J586" i="6" s="1"/>
  <c r="I1319" i="7"/>
  <c r="M1319" i="7" s="1"/>
  <c r="I625" i="7"/>
  <c r="J625" i="7" s="1"/>
  <c r="I579" i="7"/>
  <c r="J579" i="7" s="1"/>
  <c r="I541" i="7"/>
  <c r="J541" i="7" s="1"/>
  <c r="I393" i="7"/>
  <c r="J393" i="7" s="1"/>
  <c r="I382" i="7"/>
  <c r="J382" i="7" s="1"/>
  <c r="I371" i="7"/>
  <c r="J371" i="7" s="1"/>
  <c r="I349" i="7"/>
  <c r="J349" i="7" s="1"/>
  <c r="I361" i="7"/>
  <c r="J361" i="7" s="1"/>
  <c r="I403" i="7"/>
  <c r="J403" i="7" s="1"/>
  <c r="I346" i="8"/>
  <c r="M346" i="8" s="1"/>
  <c r="J803" i="8"/>
  <c r="J461" i="9"/>
  <c r="I561" i="8"/>
  <c r="J561" i="8" s="1"/>
  <c r="I408" i="8"/>
  <c r="J408" i="8" s="1"/>
  <c r="I399" i="8"/>
  <c r="J399" i="8" s="1"/>
  <c r="I388" i="8"/>
  <c r="J388" i="8" s="1"/>
  <c r="I376" i="8"/>
  <c r="J376" i="8" s="1"/>
  <c r="I234" i="9"/>
  <c r="M234" i="9" s="1"/>
  <c r="I481" i="8"/>
  <c r="J481" i="8" s="1"/>
  <c r="J482" i="8" s="1"/>
  <c r="I469" i="8"/>
  <c r="J469" i="8" s="1"/>
  <c r="I462" i="8"/>
  <c r="J462" i="8" s="1"/>
  <c r="I455" i="8"/>
  <c r="J455" i="8" s="1"/>
  <c r="I448" i="8"/>
  <c r="J448" i="8" s="1"/>
  <c r="I441" i="8"/>
  <c r="J441" i="8" s="1"/>
  <c r="I494" i="8"/>
  <c r="J494" i="8" s="1"/>
  <c r="I501" i="8"/>
  <c r="J501" i="8" s="1"/>
  <c r="I508" i="8"/>
  <c r="J508" i="8" s="1"/>
  <c r="I475" i="8"/>
  <c r="J475" i="8" s="1"/>
  <c r="J476" i="8" s="1"/>
  <c r="I487" i="8"/>
  <c r="J487" i="8" s="1"/>
  <c r="J488" i="8" s="1"/>
  <c r="I284" i="9"/>
  <c r="M284" i="9" s="1"/>
  <c r="G73" i="12"/>
  <c r="H20" i="12"/>
  <c r="C36" i="12"/>
  <c r="H29" i="12"/>
  <c r="C51" i="12"/>
  <c r="G58" i="12"/>
  <c r="H65" i="12"/>
  <c r="G27" i="12"/>
  <c r="H34" i="12"/>
  <c r="H70" i="12"/>
  <c r="H9" i="12"/>
  <c r="G38" i="12"/>
  <c r="H45" i="12"/>
  <c r="C67" i="12"/>
  <c r="G74" i="12"/>
  <c r="H13" i="12"/>
  <c r="G42" i="12"/>
  <c r="H49" i="12"/>
  <c r="C71" i="12"/>
  <c r="H24" i="12"/>
  <c r="C46" i="12"/>
  <c r="G53" i="12"/>
  <c r="H60" i="12"/>
  <c r="I788" i="7"/>
  <c r="M788" i="7" s="1"/>
  <c r="I403" i="6"/>
  <c r="J403" i="6" s="1"/>
  <c r="J529" i="8"/>
  <c r="I570" i="7"/>
  <c r="J570" i="7" s="1"/>
  <c r="I561" i="7"/>
  <c r="J561" i="7" s="1"/>
  <c r="I552" i="7"/>
  <c r="J552" i="7" s="1"/>
  <c r="I467" i="7"/>
  <c r="J467" i="7" s="1"/>
  <c r="I458" i="7"/>
  <c r="J458" i="7" s="1"/>
  <c r="I449" i="7"/>
  <c r="J449" i="7" s="1"/>
  <c r="I440" i="7"/>
  <c r="J440" i="7" s="1"/>
  <c r="I431" i="7"/>
  <c r="J431" i="7" s="1"/>
  <c r="I422" i="7"/>
  <c r="J422" i="7" s="1"/>
  <c r="I413" i="7"/>
  <c r="J413" i="7" s="1"/>
  <c r="I529" i="7"/>
  <c r="J529" i="7" s="1"/>
  <c r="I484" i="7"/>
  <c r="J484" i="7" s="1"/>
  <c r="I520" i="7"/>
  <c r="J520" i="7" s="1"/>
  <c r="I502" i="7"/>
  <c r="J502" i="7" s="1"/>
  <c r="I475" i="7"/>
  <c r="J475" i="7" s="1"/>
  <c r="I493" i="7"/>
  <c r="J493" i="7" s="1"/>
  <c r="I426" i="8"/>
  <c r="M426" i="8" s="1"/>
  <c r="J51" i="8"/>
  <c r="I1357" i="7"/>
  <c r="J1357" i="7" s="1"/>
  <c r="I773" i="7"/>
  <c r="J773" i="7" s="1"/>
  <c r="I694" i="7"/>
  <c r="J694" i="7" s="1"/>
  <c r="I41" i="7"/>
  <c r="J41" i="7" s="1"/>
  <c r="I673" i="7"/>
  <c r="J673" i="7" s="1"/>
  <c r="J674" i="7" s="1"/>
  <c r="I1089" i="7"/>
  <c r="J1089" i="7" s="1"/>
  <c r="I756" i="8"/>
  <c r="M756" i="8" s="1"/>
  <c r="I74" i="6"/>
  <c r="J74" i="6" s="1"/>
  <c r="I275" i="7"/>
  <c r="M275" i="7" s="1"/>
  <c r="J333" i="7"/>
  <c r="J645" i="7"/>
  <c r="I742" i="8"/>
  <c r="J742" i="8" s="1"/>
  <c r="I107" i="8"/>
  <c r="J107" i="8" s="1"/>
  <c r="I71" i="9"/>
  <c r="M71" i="9" s="1"/>
  <c r="I272" i="6"/>
  <c r="J272" i="6" s="1"/>
  <c r="I677" i="7"/>
  <c r="M677" i="7" s="1"/>
  <c r="I320" i="7"/>
  <c r="J320" i="7" s="1"/>
  <c r="I312" i="7"/>
  <c r="J312" i="7" s="1"/>
  <c r="I284" i="8"/>
  <c r="M284" i="8" s="1"/>
  <c r="I693" i="7"/>
  <c r="J693" i="7" s="1"/>
  <c r="I702" i="7"/>
  <c r="J702" i="7" s="1"/>
  <c r="I711" i="7"/>
  <c r="J711" i="7" s="1"/>
  <c r="I642" i="8"/>
  <c r="M642" i="8" s="1"/>
  <c r="J535" i="8"/>
  <c r="I243" i="6"/>
  <c r="J243" i="6" s="1"/>
  <c r="I133" i="6"/>
  <c r="J133" i="6" s="1"/>
  <c r="I340" i="6"/>
  <c r="J340" i="6" s="1"/>
  <c r="I110" i="6"/>
  <c r="J110" i="6" s="1"/>
  <c r="I287" i="7"/>
  <c r="M287" i="7" s="1"/>
  <c r="I204" i="6"/>
  <c r="J204" i="6" s="1"/>
  <c r="I48" i="7"/>
  <c r="M48" i="7" s="1"/>
  <c r="J355" i="6" l="1"/>
  <c r="J356" i="6" s="1"/>
  <c r="J357" i="6" s="1"/>
  <c r="I51" i="4" s="1"/>
  <c r="I706" i="6"/>
  <c r="J706" i="6" s="1"/>
  <c r="I687" i="6"/>
  <c r="J687" i="6" s="1"/>
  <c r="I131" i="9"/>
  <c r="J131" i="9" s="1"/>
  <c r="I510" i="7"/>
  <c r="J510" i="7" s="1"/>
  <c r="I1440" i="7"/>
  <c r="J1440" i="7" s="1"/>
  <c r="I703" i="7"/>
  <c r="J703" i="7" s="1"/>
  <c r="J1155" i="7"/>
  <c r="I1447" i="7"/>
  <c r="J1447" i="7" s="1"/>
  <c r="I1364" i="7"/>
  <c r="M1364" i="7" s="1"/>
  <c r="I677" i="6"/>
  <c r="J677" i="6" s="1"/>
  <c r="I22" i="8"/>
  <c r="M22" i="8" s="1"/>
  <c r="I712" i="7"/>
  <c r="J712" i="7" s="1"/>
  <c r="J414" i="6"/>
  <c r="I697" i="6"/>
  <c r="J697" i="6" s="1"/>
  <c r="J651" i="6"/>
  <c r="I639" i="6"/>
  <c r="J639" i="6" s="1"/>
  <c r="I43" i="9"/>
  <c r="J43" i="9" s="1"/>
  <c r="I296" i="6"/>
  <c r="J296" i="6" s="1"/>
  <c r="J297" i="6" s="1"/>
  <c r="J298" i="6" s="1"/>
  <c r="J299" i="6" s="1"/>
  <c r="I42" i="4" s="1"/>
  <c r="I13" i="12" s="1"/>
  <c r="I700" i="8"/>
  <c r="M700" i="8" s="1"/>
  <c r="I213" i="8"/>
  <c r="J213" i="8" s="1"/>
  <c r="I741" i="8"/>
  <c r="J741" i="8" s="1"/>
  <c r="I177" i="8"/>
  <c r="J177" i="8" s="1"/>
  <c r="J123" i="6"/>
  <c r="J124" i="6" s="1"/>
  <c r="J125" i="6" s="1"/>
  <c r="I23" i="4" s="1"/>
  <c r="K23" i="4" s="1"/>
  <c r="I58" i="10"/>
  <c r="M58" i="10" s="1"/>
  <c r="I132" i="9"/>
  <c r="J132" i="9" s="1"/>
  <c r="I740" i="8"/>
  <c r="J740" i="8" s="1"/>
  <c r="J743" i="8" s="1"/>
  <c r="I1077" i="7" s="1"/>
  <c r="J1077" i="7" s="1"/>
  <c r="J1078" i="7" s="1"/>
  <c r="I516" i="6"/>
  <c r="J516" i="6" s="1"/>
  <c r="J518" i="6" s="1"/>
  <c r="J519" i="6" s="1"/>
  <c r="J520" i="6" s="1"/>
  <c r="I71" i="4" s="1"/>
  <c r="I615" i="6"/>
  <c r="J615" i="6" s="1"/>
  <c r="J620" i="6" s="1"/>
  <c r="I613" i="6" s="1"/>
  <c r="M613" i="6" s="1"/>
  <c r="I504" i="6"/>
  <c r="J504" i="6" s="1"/>
  <c r="J509" i="6" s="1"/>
  <c r="I501" i="6" s="1"/>
  <c r="M501" i="6" s="1"/>
  <c r="I447" i="6"/>
  <c r="J447" i="6" s="1"/>
  <c r="J450" i="6" s="1"/>
  <c r="I603" i="6"/>
  <c r="J603" i="6" s="1"/>
  <c r="I490" i="6"/>
  <c r="J490" i="6" s="1"/>
  <c r="J496" i="6" s="1"/>
  <c r="I36" i="6"/>
  <c r="J36" i="6" s="1"/>
  <c r="K40" i="12"/>
  <c r="I175" i="7"/>
  <c r="J175" i="7" s="1"/>
  <c r="J177" i="7" s="1"/>
  <c r="I55" i="6" s="1"/>
  <c r="J55" i="6" s="1"/>
  <c r="I166" i="7"/>
  <c r="J166" i="7" s="1"/>
  <c r="J168" i="7" s="1"/>
  <c r="I54" i="6" s="1"/>
  <c r="J54" i="6" s="1"/>
  <c r="I243" i="7"/>
  <c r="J243" i="7" s="1"/>
  <c r="I1051" i="7"/>
  <c r="J1051" i="7" s="1"/>
  <c r="J1052" i="7" s="1"/>
  <c r="I1049" i="7" s="1"/>
  <c r="M1049" i="7" s="1"/>
  <c r="I86" i="7"/>
  <c r="J86" i="7" s="1"/>
  <c r="J87" i="7" s="1"/>
  <c r="I531" i="6" s="1"/>
  <c r="J531" i="6" s="1"/>
  <c r="J1090" i="7"/>
  <c r="I1081" i="7" s="1"/>
  <c r="M1081" i="7" s="1"/>
  <c r="I80" i="7"/>
  <c r="J80" i="7" s="1"/>
  <c r="J81" i="7" s="1"/>
  <c r="I78" i="7" s="1"/>
  <c r="M78" i="7" s="1"/>
  <c r="I70" i="8"/>
  <c r="M70" i="8" s="1"/>
  <c r="I101" i="7"/>
  <c r="J101" i="7" s="1"/>
  <c r="I270" i="7"/>
  <c r="J270" i="7" s="1"/>
  <c r="J272" i="7" s="1"/>
  <c r="I1107" i="7"/>
  <c r="J1107" i="7" s="1"/>
  <c r="I184" i="7"/>
  <c r="J184" i="7" s="1"/>
  <c r="J186" i="7" s="1"/>
  <c r="I180" i="7" s="1"/>
  <c r="M180" i="7" s="1"/>
  <c r="I784" i="7"/>
  <c r="J784" i="7" s="1"/>
  <c r="J785" i="7" s="1"/>
  <c r="I780" i="7" s="1"/>
  <c r="M780" i="7" s="1"/>
  <c r="I1098" i="7"/>
  <c r="J1098" i="7" s="1"/>
  <c r="I193" i="7"/>
  <c r="J193" i="7" s="1"/>
  <c r="I212" i="7"/>
  <c r="J212" i="7" s="1"/>
  <c r="J214" i="7" s="1"/>
  <c r="I1116" i="7"/>
  <c r="J1116" i="7" s="1"/>
  <c r="I261" i="7"/>
  <c r="J261" i="7" s="1"/>
  <c r="J263" i="7" s="1"/>
  <c r="I65" i="6" s="1"/>
  <c r="J65" i="6" s="1"/>
  <c r="I252" i="7"/>
  <c r="J252" i="7" s="1"/>
  <c r="J254" i="7" s="1"/>
  <c r="I1064" i="7"/>
  <c r="J1064" i="7" s="1"/>
  <c r="J1066" i="7" s="1"/>
  <c r="I525" i="6" s="1"/>
  <c r="J525" i="6" s="1"/>
  <c r="I74" i="7"/>
  <c r="J74" i="7" s="1"/>
  <c r="J75" i="7" s="1"/>
  <c r="I72" i="7" s="1"/>
  <c r="M72" i="7" s="1"/>
  <c r="J829" i="7"/>
  <c r="I456" i="6" s="1"/>
  <c r="J456" i="6" s="1"/>
  <c r="J188" i="6"/>
  <c r="J189" i="6" s="1"/>
  <c r="J190" i="6" s="1"/>
  <c r="I29" i="4" s="1"/>
  <c r="J950" i="7"/>
  <c r="I467" i="6" s="1"/>
  <c r="J467" i="6" s="1"/>
  <c r="J1219" i="7"/>
  <c r="I1213" i="7" s="1"/>
  <c r="M1213" i="7" s="1"/>
  <c r="J756" i="6"/>
  <c r="I749" i="6" s="1"/>
  <c r="M749" i="6" s="1"/>
  <c r="J387" i="6"/>
  <c r="I381" i="6" s="1"/>
  <c r="M381" i="6" s="1"/>
  <c r="J424" i="6"/>
  <c r="J425" i="6" s="1"/>
  <c r="J426" i="6" s="1"/>
  <c r="I61" i="4" s="1"/>
  <c r="I724" i="8"/>
  <c r="M724" i="8" s="1"/>
  <c r="J376" i="6"/>
  <c r="I370" i="6" s="1"/>
  <c r="M370" i="6" s="1"/>
  <c r="J660" i="6"/>
  <c r="J661" i="6" s="1"/>
  <c r="J662" i="6" s="1"/>
  <c r="I85" i="4" s="1"/>
  <c r="J1427" i="7"/>
  <c r="I1423" i="7" s="1"/>
  <c r="M1423" i="7" s="1"/>
  <c r="J839" i="7"/>
  <c r="I431" i="6" s="1"/>
  <c r="J431" i="6" s="1"/>
  <c r="I776" i="8"/>
  <c r="M776" i="8" s="1"/>
  <c r="J108" i="8"/>
  <c r="I220" i="7" s="1"/>
  <c r="J220" i="7" s="1"/>
  <c r="I1097" i="7"/>
  <c r="J1097" i="7" s="1"/>
  <c r="J1420" i="7"/>
  <c r="I1416" i="7" s="1"/>
  <c r="M1416" i="7" s="1"/>
  <c r="J882" i="7"/>
  <c r="I875" i="7" s="1"/>
  <c r="M875" i="7" s="1"/>
  <c r="J324" i="7"/>
  <c r="I143" i="6" s="1"/>
  <c r="J143" i="6" s="1"/>
  <c r="J791" i="6"/>
  <c r="J792" i="6" s="1"/>
  <c r="I103" i="4" s="1"/>
  <c r="J317" i="6"/>
  <c r="J318" i="6" s="1"/>
  <c r="J319" i="6" s="1"/>
  <c r="I44" i="4" s="1"/>
  <c r="J669" i="6"/>
  <c r="I665" i="6" s="1"/>
  <c r="M665" i="6" s="1"/>
  <c r="J1183" i="7"/>
  <c r="I1176" i="7" s="1"/>
  <c r="M1176" i="7" s="1"/>
  <c r="I742" i="6"/>
  <c r="J742" i="6" s="1"/>
  <c r="J930" i="7"/>
  <c r="I465" i="6" s="1"/>
  <c r="J465" i="6" s="1"/>
  <c r="I726" i="6"/>
  <c r="J726" i="6" s="1"/>
  <c r="I734" i="6"/>
  <c r="J734" i="6" s="1"/>
  <c r="J1007" i="7"/>
  <c r="I473" i="6" s="1"/>
  <c r="J473" i="6" s="1"/>
  <c r="J997" i="7"/>
  <c r="I472" i="6" s="1"/>
  <c r="J472" i="6" s="1"/>
  <c r="J1229" i="7"/>
  <c r="I1222" i="7" s="1"/>
  <c r="M1222" i="7" s="1"/>
  <c r="J178" i="8"/>
  <c r="I104" i="7" s="1"/>
  <c r="J104" i="7" s="1"/>
  <c r="I222" i="7"/>
  <c r="J222" i="7" s="1"/>
  <c r="I719" i="6"/>
  <c r="J719" i="6" s="1"/>
  <c r="J720" i="6" s="1"/>
  <c r="J721" i="6" s="1"/>
  <c r="J722" i="6" s="1"/>
  <c r="I91" i="4" s="1"/>
  <c r="J1192" i="7"/>
  <c r="I546" i="6" s="1"/>
  <c r="J546" i="6" s="1"/>
  <c r="J679" i="6"/>
  <c r="J680" i="6" s="1"/>
  <c r="J681" i="6" s="1"/>
  <c r="I87" i="4" s="1"/>
  <c r="J1238" i="7"/>
  <c r="I551" i="6" s="1"/>
  <c r="J551" i="6" s="1"/>
  <c r="J112" i="6"/>
  <c r="I109" i="6" s="1"/>
  <c r="M109" i="6" s="1"/>
  <c r="J1262" i="7"/>
  <c r="I1259" i="7" s="1"/>
  <c r="M1259" i="7" s="1"/>
  <c r="I242" i="7"/>
  <c r="J242" i="7" s="1"/>
  <c r="J1247" i="7"/>
  <c r="I1241" i="7" s="1"/>
  <c r="M1241" i="7" s="1"/>
  <c r="J396" i="6"/>
  <c r="I392" i="6" s="1"/>
  <c r="M392" i="6" s="1"/>
  <c r="I347" i="6"/>
  <c r="M347" i="6" s="1"/>
  <c r="J1270" i="7"/>
  <c r="I1265" i="7" s="1"/>
  <c r="M1265" i="7" s="1"/>
  <c r="J405" i="6"/>
  <c r="I401" i="6" s="1"/>
  <c r="M401" i="6" s="1"/>
  <c r="J588" i="6"/>
  <c r="I581" i="6" s="1"/>
  <c r="M581" i="6" s="1"/>
  <c r="J699" i="6"/>
  <c r="J700" i="6" s="1"/>
  <c r="J701" i="6" s="1"/>
  <c r="I89" i="4" s="1"/>
  <c r="J865" i="7"/>
  <c r="I862" i="7" s="1"/>
  <c r="M862" i="7" s="1"/>
  <c r="I1115" i="7"/>
  <c r="J1115" i="7" s="1"/>
  <c r="J1118" i="7" s="1"/>
  <c r="I1112" i="7" s="1"/>
  <c r="M1112" i="7" s="1"/>
  <c r="J1413" i="7"/>
  <c r="I1409" i="7" s="1"/>
  <c r="M1409" i="7" s="1"/>
  <c r="J764" i="6"/>
  <c r="I761" i="6" s="1"/>
  <c r="M761" i="6" s="1"/>
  <c r="J1031" i="7"/>
  <c r="I1026" i="7" s="1"/>
  <c r="M1026" i="7" s="1"/>
  <c r="J967" i="7"/>
  <c r="I963" i="7" s="1"/>
  <c r="M963" i="7" s="1"/>
  <c r="J1201" i="7"/>
  <c r="I1195" i="7" s="1"/>
  <c r="M1195" i="7" s="1"/>
  <c r="J1392" i="7"/>
  <c r="I1388" i="7" s="1"/>
  <c r="M1388" i="7" s="1"/>
  <c r="J1278" i="7"/>
  <c r="I1273" i="7" s="1"/>
  <c r="M1273" i="7" s="1"/>
  <c r="J1137" i="7"/>
  <c r="I1131" i="7" s="1"/>
  <c r="M1131" i="7" s="1"/>
  <c r="I548" i="6"/>
  <c r="J548" i="6" s="1"/>
  <c r="J214" i="8"/>
  <c r="I203" i="8" s="1"/>
  <c r="M203" i="8" s="1"/>
  <c r="J576" i="6"/>
  <c r="J577" i="6" s="1"/>
  <c r="J578" i="6" s="1"/>
  <c r="I74" i="4" s="1"/>
  <c r="I288" i="6"/>
  <c r="M288" i="6" s="1"/>
  <c r="J960" i="7"/>
  <c r="I953" i="7" s="1"/>
  <c r="M953" i="7" s="1"/>
  <c r="I62" i="6"/>
  <c r="J62" i="6" s="1"/>
  <c r="J1109" i="7"/>
  <c r="I1103" i="7" s="1"/>
  <c r="M1103" i="7" s="1"/>
  <c r="J1017" i="7"/>
  <c r="I1010" i="7" s="1"/>
  <c r="M1010" i="7" s="1"/>
  <c r="I665" i="7"/>
  <c r="J665" i="7" s="1"/>
  <c r="I54" i="8"/>
  <c r="M54" i="8" s="1"/>
  <c r="J641" i="6"/>
  <c r="J642" i="6" s="1"/>
  <c r="J643" i="6" s="1"/>
  <c r="I83" i="4" s="1"/>
  <c r="I305" i="7"/>
  <c r="J305" i="7" s="1"/>
  <c r="J920" i="7"/>
  <c r="I915" i="7" s="1"/>
  <c r="M915" i="7" s="1"/>
  <c r="J195" i="7"/>
  <c r="I57" i="6" s="1"/>
  <c r="J57" i="6" s="1"/>
  <c r="I46" i="6"/>
  <c r="J46" i="6" s="1"/>
  <c r="J859" i="7"/>
  <c r="I433" i="6" s="1"/>
  <c r="J433" i="6" s="1"/>
  <c r="I44" i="7"/>
  <c r="J44" i="7" s="1"/>
  <c r="J977" i="7"/>
  <c r="I470" i="6" s="1"/>
  <c r="J470" i="6" s="1"/>
  <c r="J608" i="6"/>
  <c r="J609" i="6" s="1"/>
  <c r="J610" i="6" s="1"/>
  <c r="I78" i="4" s="1"/>
  <c r="J940" i="7"/>
  <c r="I933" i="7" s="1"/>
  <c r="M933" i="7" s="1"/>
  <c r="J316" i="7"/>
  <c r="I309" i="7" s="1"/>
  <c r="M309" i="7" s="1"/>
  <c r="J1256" i="7"/>
  <c r="I1250" i="7" s="1"/>
  <c r="M1250" i="7" s="1"/>
  <c r="J1023" i="7"/>
  <c r="I1020" i="7" s="1"/>
  <c r="M1020" i="7" s="1"/>
  <c r="J849" i="7"/>
  <c r="I842" i="7" s="1"/>
  <c r="M842" i="7" s="1"/>
  <c r="J1128" i="7"/>
  <c r="I539" i="6" s="1"/>
  <c r="J539" i="6" s="1"/>
  <c r="J689" i="6"/>
  <c r="I684" i="6" s="1"/>
  <c r="M684" i="6" s="1"/>
  <c r="I746" i="8"/>
  <c r="M746" i="8" s="1"/>
  <c r="I45" i="9"/>
  <c r="J45" i="9" s="1"/>
  <c r="J1146" i="7"/>
  <c r="I541" i="6" s="1"/>
  <c r="J541" i="6" s="1"/>
  <c r="J1173" i="7"/>
  <c r="I1167" i="7" s="1"/>
  <c r="M1167" i="7" s="1"/>
  <c r="I146" i="6"/>
  <c r="J146" i="6" s="1"/>
  <c r="J307" i="6"/>
  <c r="J308" i="6" s="1"/>
  <c r="J309" i="6" s="1"/>
  <c r="I43" i="4" s="1"/>
  <c r="J1039" i="7"/>
  <c r="I1034" i="7" s="1"/>
  <c r="M1034" i="7" s="1"/>
  <c r="I84" i="7"/>
  <c r="M84" i="7" s="1"/>
  <c r="J987" i="7"/>
  <c r="I980" i="7" s="1"/>
  <c r="M980" i="7" s="1"/>
  <c r="I524" i="6"/>
  <c r="J524" i="6" s="1"/>
  <c r="K102" i="4"/>
  <c r="I321" i="9"/>
  <c r="M321" i="9" s="1"/>
  <c r="J892" i="7"/>
  <c r="I885" i="7" s="1"/>
  <c r="M885" i="7" s="1"/>
  <c r="I539" i="8"/>
  <c r="J539" i="8" s="1"/>
  <c r="J544" i="8" s="1"/>
  <c r="I543" i="7" s="1"/>
  <c r="J543" i="7" s="1"/>
  <c r="J902" i="7"/>
  <c r="I895" i="7" s="1"/>
  <c r="M895" i="7" s="1"/>
  <c r="I353" i="9"/>
  <c r="M353" i="9" s="1"/>
  <c r="J713" i="7"/>
  <c r="I707" i="7" s="1"/>
  <c r="M707" i="7" s="1"/>
  <c r="J912" i="7"/>
  <c r="I905" i="7" s="1"/>
  <c r="M905" i="7" s="1"/>
  <c r="I593" i="8"/>
  <c r="J593" i="8" s="1"/>
  <c r="J597" i="8" s="1"/>
  <c r="I628" i="7" s="1"/>
  <c r="J628" i="7" s="1"/>
  <c r="J342" i="6"/>
  <c r="I335" i="6" s="1"/>
  <c r="M335" i="6" s="1"/>
  <c r="J274" i="6"/>
  <c r="J275" i="6" s="1"/>
  <c r="J276" i="6" s="1"/>
  <c r="I40" i="4" s="1"/>
  <c r="I82" i="10"/>
  <c r="M82" i="10" s="1"/>
  <c r="J470" i="8"/>
  <c r="I450" i="7" s="1"/>
  <c r="J450" i="7" s="1"/>
  <c r="J451" i="7" s="1"/>
  <c r="J509" i="8"/>
  <c r="I530" i="7" s="1"/>
  <c r="J530" i="7" s="1"/>
  <c r="J531" i="7" s="1"/>
  <c r="I1360" i="7"/>
  <c r="J1360" i="7" s="1"/>
  <c r="I1055" i="7"/>
  <c r="M1055" i="7" s="1"/>
  <c r="J11" i="6"/>
  <c r="J12" i="6" s="1"/>
  <c r="J13" i="6" s="1"/>
  <c r="I8" i="4" s="1"/>
  <c r="J704" i="7"/>
  <c r="I698" i="7" s="1"/>
  <c r="M698" i="7" s="1"/>
  <c r="J695" i="7"/>
  <c r="I280" i="6" s="1"/>
  <c r="J280" i="6" s="1"/>
  <c r="I25" i="12"/>
  <c r="K51" i="4"/>
  <c r="I1158" i="7"/>
  <c r="M1158" i="7" s="1"/>
  <c r="I543" i="6"/>
  <c r="J543" i="6" s="1"/>
  <c r="I14" i="12"/>
  <c r="J415" i="6"/>
  <c r="J416" i="6" s="1"/>
  <c r="I60" i="4" s="1"/>
  <c r="I410" i="6"/>
  <c r="M410" i="6" s="1"/>
  <c r="I632" i="7"/>
  <c r="M632" i="7" s="1"/>
  <c r="I231" i="6"/>
  <c r="J231" i="6" s="1"/>
  <c r="I220" i="6"/>
  <c r="J220" i="6" s="1"/>
  <c r="I544" i="7"/>
  <c r="J544" i="7" s="1"/>
  <c r="I547" i="8"/>
  <c r="M547" i="8" s="1"/>
  <c r="I852" i="8"/>
  <c r="J852" i="8" s="1"/>
  <c r="I472" i="9"/>
  <c r="M472" i="9" s="1"/>
  <c r="I627" i="7"/>
  <c r="J627" i="7" s="1"/>
  <c r="I582" i="8"/>
  <c r="M582" i="8" s="1"/>
  <c r="J495" i="8"/>
  <c r="I641" i="7"/>
  <c r="M641" i="7" s="1"/>
  <c r="I221" i="6"/>
  <c r="J221" i="6" s="1"/>
  <c r="I232" i="6"/>
  <c r="J232" i="6" s="1"/>
  <c r="I459" i="7"/>
  <c r="J459" i="7" s="1"/>
  <c r="J460" i="7" s="1"/>
  <c r="I473" i="8"/>
  <c r="M473" i="8" s="1"/>
  <c r="I1149" i="7"/>
  <c r="M1149" i="7" s="1"/>
  <c r="I542" i="6"/>
  <c r="J542" i="6" s="1"/>
  <c r="K19" i="4"/>
  <c r="K16" i="4"/>
  <c r="I468" i="7"/>
  <c r="J468" i="7" s="1"/>
  <c r="J469" i="7" s="1"/>
  <c r="I479" i="8"/>
  <c r="M479" i="8" s="1"/>
  <c r="I563" i="8"/>
  <c r="J563" i="8" s="1"/>
  <c r="I410" i="8"/>
  <c r="J410" i="8" s="1"/>
  <c r="I401" i="8"/>
  <c r="J401" i="8" s="1"/>
  <c r="I390" i="8"/>
  <c r="J390" i="8" s="1"/>
  <c r="I378" i="8"/>
  <c r="J378" i="8" s="1"/>
  <c r="I255" i="9"/>
  <c r="M255" i="9" s="1"/>
  <c r="I42" i="9"/>
  <c r="J42" i="9" s="1"/>
  <c r="I130" i="9"/>
  <c r="J130" i="9" s="1"/>
  <c r="J134" i="9" s="1"/>
  <c r="I121" i="9"/>
  <c r="J121" i="9" s="1"/>
  <c r="J122" i="9" s="1"/>
  <c r="I7" i="10"/>
  <c r="M7" i="10" s="1"/>
  <c r="I198" i="9"/>
  <c r="J198" i="9" s="1"/>
  <c r="J199" i="9" s="1"/>
  <c r="I179" i="9"/>
  <c r="J179" i="9" s="1"/>
  <c r="J180" i="9" s="1"/>
  <c r="I142" i="9"/>
  <c r="J142" i="9" s="1"/>
  <c r="J143" i="9" s="1"/>
  <c r="I188" i="9"/>
  <c r="J188" i="9" s="1"/>
  <c r="J189" i="9" s="1"/>
  <c r="J442" i="8"/>
  <c r="J502" i="8"/>
  <c r="I184" i="6"/>
  <c r="M184" i="6" s="1"/>
  <c r="I512" i="7"/>
  <c r="J512" i="7" s="1"/>
  <c r="I532" i="8"/>
  <c r="M532" i="8" s="1"/>
  <c r="K42" i="4"/>
  <c r="I476" i="7"/>
  <c r="J476" i="7" s="1"/>
  <c r="J477" i="7" s="1"/>
  <c r="I485" i="8"/>
  <c r="M485" i="8" s="1"/>
  <c r="I1359" i="7"/>
  <c r="J1359" i="7" s="1"/>
  <c r="I798" i="8"/>
  <c r="M798" i="8" s="1"/>
  <c r="I1045" i="7"/>
  <c r="J1045" i="7" s="1"/>
  <c r="J1046" i="7" s="1"/>
  <c r="I871" i="7"/>
  <c r="J871" i="7" s="1"/>
  <c r="J872" i="7" s="1"/>
  <c r="I693" i="8"/>
  <c r="M693" i="8" s="1"/>
  <c r="I1284" i="7"/>
  <c r="J1284" i="7" s="1"/>
  <c r="J1285" i="7" s="1"/>
  <c r="J463" i="8"/>
  <c r="I145" i="6"/>
  <c r="J145" i="6" s="1"/>
  <c r="I327" i="7"/>
  <c r="M327" i="7" s="1"/>
  <c r="J75" i="6"/>
  <c r="J456" i="8"/>
  <c r="I669" i="7"/>
  <c r="M669" i="7" s="1"/>
  <c r="I260" i="6"/>
  <c r="J260" i="6" s="1"/>
  <c r="J263" i="6" s="1"/>
  <c r="J652" i="6"/>
  <c r="J653" i="6" s="1"/>
  <c r="I84" i="4" s="1"/>
  <c r="I646" i="6"/>
  <c r="M646" i="6" s="1"/>
  <c r="I850" i="8"/>
  <c r="J850" i="8" s="1"/>
  <c r="I452" i="9"/>
  <c r="M452" i="9" s="1"/>
  <c r="I775" i="7"/>
  <c r="J775" i="7" s="1"/>
  <c r="J777" i="7" s="1"/>
  <c r="I304" i="7"/>
  <c r="J304" i="7" s="1"/>
  <c r="I43" i="7"/>
  <c r="J43" i="7" s="1"/>
  <c r="I664" i="7"/>
  <c r="J664" i="7" s="1"/>
  <c r="I46" i="8"/>
  <c r="M46" i="8" s="1"/>
  <c r="K18" i="4"/>
  <c r="I511" i="7"/>
  <c r="J511" i="7" s="1"/>
  <c r="I524" i="8"/>
  <c r="M524" i="8" s="1"/>
  <c r="I464" i="9"/>
  <c r="M464" i="9" s="1"/>
  <c r="I851" i="8"/>
  <c r="J851" i="8" s="1"/>
  <c r="I377" i="8"/>
  <c r="J377" i="8" s="1"/>
  <c r="I562" i="8"/>
  <c r="J562" i="8" s="1"/>
  <c r="I400" i="8"/>
  <c r="J400" i="8" s="1"/>
  <c r="I409" i="8"/>
  <c r="J409" i="8" s="1"/>
  <c r="I389" i="8"/>
  <c r="J389" i="8" s="1"/>
  <c r="I246" i="9"/>
  <c r="M246" i="9" s="1"/>
  <c r="J84" i="6"/>
  <c r="J85" i="6" s="1"/>
  <c r="I15" i="4" s="1"/>
  <c r="I80" i="6"/>
  <c r="M80" i="6" s="1"/>
  <c r="J449" i="8"/>
  <c r="I171" i="7" l="1"/>
  <c r="M171" i="7" s="1"/>
  <c r="I117" i="6"/>
  <c r="M117" i="6" s="1"/>
  <c r="I943" i="7"/>
  <c r="M943" i="7" s="1"/>
  <c r="I45" i="6"/>
  <c r="J45" i="6" s="1"/>
  <c r="I364" i="6"/>
  <c r="J364" i="6" s="1"/>
  <c r="J365" i="6" s="1"/>
  <c r="I430" i="6"/>
  <c r="J430" i="6" s="1"/>
  <c r="I824" i="7"/>
  <c r="M824" i="7" s="1"/>
  <c r="I528" i="6"/>
  <c r="J528" i="6" s="1"/>
  <c r="J1100" i="7"/>
  <c r="I1093" i="7" s="1"/>
  <c r="M1093" i="7" s="1"/>
  <c r="I486" i="6"/>
  <c r="M486" i="6" s="1"/>
  <c r="J497" i="6"/>
  <c r="J498" i="6" s="1"/>
  <c r="I69" i="4" s="1"/>
  <c r="I64" i="12" s="1"/>
  <c r="J451" i="6"/>
  <c r="J452" i="6" s="1"/>
  <c r="I65" i="4" s="1"/>
  <c r="K65" i="4" s="1"/>
  <c r="K45" i="12" s="1"/>
  <c r="I441" i="6"/>
  <c r="M441" i="6" s="1"/>
  <c r="J388" i="6"/>
  <c r="J389" i="6" s="1"/>
  <c r="I55" i="4" s="1"/>
  <c r="I33" i="12" s="1"/>
  <c r="K74" i="4"/>
  <c r="I26" i="12"/>
  <c r="K28" i="12"/>
  <c r="K14" i="12"/>
  <c r="K25" i="12"/>
  <c r="I18" i="12"/>
  <c r="I65" i="12"/>
  <c r="K61" i="12"/>
  <c r="I44" i="6"/>
  <c r="J44" i="6" s="1"/>
  <c r="K13" i="12"/>
  <c r="K49" i="12"/>
  <c r="I57" i="12"/>
  <c r="K60" i="12"/>
  <c r="I549" i="6"/>
  <c r="J549" i="6" s="1"/>
  <c r="I514" i="6"/>
  <c r="M514" i="6" s="1"/>
  <c r="I735" i="6"/>
  <c r="J735" i="6" s="1"/>
  <c r="J736" i="6" s="1"/>
  <c r="J737" i="6" s="1"/>
  <c r="J738" i="6" s="1"/>
  <c r="I93" i="4" s="1"/>
  <c r="I457" i="6"/>
  <c r="J457" i="6" s="1"/>
  <c r="I832" i="7"/>
  <c r="M832" i="7" s="1"/>
  <c r="I556" i="6"/>
  <c r="J556" i="6" s="1"/>
  <c r="I319" i="7"/>
  <c r="M319" i="7" s="1"/>
  <c r="I694" i="6"/>
  <c r="M694" i="6" s="1"/>
  <c r="I218" i="7"/>
  <c r="J218" i="7" s="1"/>
  <c r="J765" i="6"/>
  <c r="J766" i="6" s="1"/>
  <c r="I98" i="4" s="1"/>
  <c r="J406" i="6"/>
  <c r="J407" i="6" s="1"/>
  <c r="I59" i="4" s="1"/>
  <c r="I656" i="6"/>
  <c r="M656" i="6" s="1"/>
  <c r="J757" i="6"/>
  <c r="J758" i="6" s="1"/>
  <c r="I95" i="4" s="1"/>
  <c r="I674" i="6"/>
  <c r="M674" i="6" s="1"/>
  <c r="I469" i="6"/>
  <c r="J469" i="6" s="1"/>
  <c r="I552" i="6"/>
  <c r="J552" i="6" s="1"/>
  <c r="I743" i="6"/>
  <c r="J743" i="6" s="1"/>
  <c r="J744" i="6" s="1"/>
  <c r="J745" i="6" s="1"/>
  <c r="J746" i="6" s="1"/>
  <c r="I94" i="4" s="1"/>
  <c r="I592" i="8"/>
  <c r="M592" i="8" s="1"/>
  <c r="I419" i="6"/>
  <c r="M419" i="6" s="1"/>
  <c r="I99" i="8"/>
  <c r="M99" i="8" s="1"/>
  <c r="I100" i="7"/>
  <c r="J100" i="7" s="1"/>
  <c r="I155" i="7"/>
  <c r="M155" i="7" s="1"/>
  <c r="I52" i="12"/>
  <c r="K61" i="4"/>
  <c r="I923" i="7"/>
  <c r="M923" i="7" s="1"/>
  <c r="K103" i="4"/>
  <c r="I56" i="6"/>
  <c r="J56" i="6" s="1"/>
  <c r="I461" i="6"/>
  <c r="J461" i="6" s="1"/>
  <c r="I165" i="8"/>
  <c r="M165" i="8" s="1"/>
  <c r="I538" i="8"/>
  <c r="M538" i="8" s="1"/>
  <c r="I471" i="6"/>
  <c r="J471" i="6" s="1"/>
  <c r="I302" i="6"/>
  <c r="M302" i="6" s="1"/>
  <c r="J377" i="6"/>
  <c r="J378" i="6" s="1"/>
  <c r="I53" i="4" s="1"/>
  <c r="I990" i="7"/>
  <c r="M990" i="7" s="1"/>
  <c r="I459" i="6"/>
  <c r="J459" i="6" s="1"/>
  <c r="I529" i="6"/>
  <c r="J529" i="6" s="1"/>
  <c r="J113" i="6"/>
  <c r="J114" i="6" s="1"/>
  <c r="I22" i="4" s="1"/>
  <c r="K44" i="4"/>
  <c r="I312" i="6"/>
  <c r="M312" i="6" s="1"/>
  <c r="I734" i="8"/>
  <c r="M734" i="8" s="1"/>
  <c r="I1071" i="7"/>
  <c r="J1071" i="7" s="1"/>
  <c r="J1072" i="7" s="1"/>
  <c r="I1069" i="7" s="1"/>
  <c r="M1069" i="7" s="1"/>
  <c r="I1232" i="7"/>
  <c r="M1232" i="7" s="1"/>
  <c r="I530" i="6"/>
  <c r="J530" i="6" s="1"/>
  <c r="I554" i="6"/>
  <c r="J554" i="6" s="1"/>
  <c r="I727" i="6"/>
  <c r="J727" i="6" s="1"/>
  <c r="J728" i="6" s="1"/>
  <c r="I725" i="6" s="1"/>
  <c r="M725" i="6" s="1"/>
  <c r="I547" i="6"/>
  <c r="J547" i="6" s="1"/>
  <c r="I555" i="6"/>
  <c r="J555" i="6" s="1"/>
  <c r="I545" i="6"/>
  <c r="J545" i="6" s="1"/>
  <c r="J510" i="6"/>
  <c r="J511" i="6" s="1"/>
  <c r="I70" i="4" s="1"/>
  <c r="I1000" i="7"/>
  <c r="M1000" i="7" s="1"/>
  <c r="J670" i="6"/>
  <c r="J671" i="6" s="1"/>
  <c r="I86" i="4" s="1"/>
  <c r="J45" i="7"/>
  <c r="I17" i="6" s="1"/>
  <c r="J17" i="6" s="1"/>
  <c r="J24" i="6" s="1"/>
  <c r="J306" i="7"/>
  <c r="I242" i="6" s="1"/>
  <c r="J242" i="6" s="1"/>
  <c r="J245" i="6" s="1"/>
  <c r="I550" i="6"/>
  <c r="J550" i="6" s="1"/>
  <c r="K71" i="4"/>
  <c r="I1186" i="7"/>
  <c r="M1186" i="7" s="1"/>
  <c r="K55" i="4"/>
  <c r="I708" i="6"/>
  <c r="J708" i="6" s="1"/>
  <c r="J709" i="6" s="1"/>
  <c r="I704" i="6" s="1"/>
  <c r="M704" i="6" s="1"/>
  <c r="I27" i="12"/>
  <c r="I477" i="6"/>
  <c r="J477" i="6" s="1"/>
  <c r="J589" i="6"/>
  <c r="J590" i="6" s="1"/>
  <c r="I77" i="4" s="1"/>
  <c r="I475" i="6"/>
  <c r="J475" i="6" s="1"/>
  <c r="J564" i="8"/>
  <c r="I581" i="7" s="1"/>
  <c r="J581" i="7" s="1"/>
  <c r="J582" i="7" s="1"/>
  <c r="J397" i="6"/>
  <c r="J398" i="6" s="1"/>
  <c r="I56" i="4" s="1"/>
  <c r="I434" i="6"/>
  <c r="J434" i="6" s="1"/>
  <c r="I479" i="6"/>
  <c r="J479" i="6" s="1"/>
  <c r="I476" i="6"/>
  <c r="J476" i="6" s="1"/>
  <c r="I714" i="6"/>
  <c r="M714" i="6" s="1"/>
  <c r="J621" i="6"/>
  <c r="J622" i="6" s="1"/>
  <c r="I79" i="4" s="1"/>
  <c r="J690" i="6"/>
  <c r="J691" i="6" s="1"/>
  <c r="I88" i="4" s="1"/>
  <c r="I466" i="6"/>
  <c r="J466" i="6" s="1"/>
  <c r="I544" i="6"/>
  <c r="J544" i="6" s="1"/>
  <c r="I540" i="6"/>
  <c r="J540" i="6" s="1"/>
  <c r="I458" i="6"/>
  <c r="J458" i="6" s="1"/>
  <c r="I66" i="6"/>
  <c r="J66" i="6" s="1"/>
  <c r="I266" i="7"/>
  <c r="M266" i="7" s="1"/>
  <c r="J411" i="8"/>
  <c r="I395" i="7" s="1"/>
  <c r="J395" i="7" s="1"/>
  <c r="J396" i="7" s="1"/>
  <c r="I468" i="6"/>
  <c r="J468" i="6" s="1"/>
  <c r="I563" i="6"/>
  <c r="M563" i="6" s="1"/>
  <c r="I462" i="6"/>
  <c r="J462" i="6" s="1"/>
  <c r="I636" i="6"/>
  <c r="M636" i="6" s="1"/>
  <c r="I281" i="6"/>
  <c r="J281" i="6" s="1"/>
  <c r="I852" i="7"/>
  <c r="M852" i="7" s="1"/>
  <c r="I1121" i="7"/>
  <c r="M1121" i="7" s="1"/>
  <c r="J666" i="7"/>
  <c r="I251" i="6" s="1"/>
  <c r="J251" i="6" s="1"/>
  <c r="J254" i="6" s="1"/>
  <c r="I189" i="7"/>
  <c r="M189" i="7" s="1"/>
  <c r="J545" i="7"/>
  <c r="I534" i="7" s="1"/>
  <c r="M534" i="7" s="1"/>
  <c r="I503" i="7"/>
  <c r="J503" i="7" s="1"/>
  <c r="J504" i="7" s="1"/>
  <c r="I498" i="7" s="1"/>
  <c r="M498" i="7" s="1"/>
  <c r="I970" i="7"/>
  <c r="M970" i="7" s="1"/>
  <c r="I464" i="6"/>
  <c r="J464" i="6" s="1"/>
  <c r="I532" i="6"/>
  <c r="J532" i="6" s="1"/>
  <c r="I553" i="6"/>
  <c r="J553" i="6" s="1"/>
  <c r="J343" i="6"/>
  <c r="J344" i="6" s="1"/>
  <c r="I50" i="4" s="1"/>
  <c r="J1361" i="7"/>
  <c r="I1353" i="7" s="1"/>
  <c r="M1353" i="7" s="1"/>
  <c r="J46" i="9"/>
  <c r="I37" i="9" s="1"/>
  <c r="M37" i="9" s="1"/>
  <c r="I257" i="7"/>
  <c r="M257" i="7" s="1"/>
  <c r="I593" i="6"/>
  <c r="M593" i="6" s="1"/>
  <c r="J513" i="7"/>
  <c r="I507" i="7" s="1"/>
  <c r="M507" i="7" s="1"/>
  <c r="I474" i="6"/>
  <c r="J474" i="6" s="1"/>
  <c r="K78" i="4"/>
  <c r="J402" i="8"/>
  <c r="I394" i="8" s="1"/>
  <c r="M394" i="8" s="1"/>
  <c r="I505" i="8"/>
  <c r="M505" i="8" s="1"/>
  <c r="I432" i="6"/>
  <c r="J432" i="6" s="1"/>
  <c r="I142" i="6"/>
  <c r="J142" i="6" s="1"/>
  <c r="J147" i="6" s="1"/>
  <c r="J629" i="7"/>
  <c r="I621" i="7" s="1"/>
  <c r="M621" i="7" s="1"/>
  <c r="I1140" i="7"/>
  <c r="M1140" i="7" s="1"/>
  <c r="I282" i="6"/>
  <c r="J282" i="6" s="1"/>
  <c r="I466" i="8"/>
  <c r="M466" i="8" s="1"/>
  <c r="I7" i="6"/>
  <c r="I268" i="6"/>
  <c r="M268" i="6" s="1"/>
  <c r="I248" i="7"/>
  <c r="M248" i="7" s="1"/>
  <c r="I64" i="6"/>
  <c r="J64" i="6" s="1"/>
  <c r="J379" i="8"/>
  <c r="I351" i="7" s="1"/>
  <c r="J351" i="7" s="1"/>
  <c r="J352" i="7" s="1"/>
  <c r="I460" i="6"/>
  <c r="J460" i="6" s="1"/>
  <c r="I463" i="6"/>
  <c r="J463" i="6" s="1"/>
  <c r="I60" i="6"/>
  <c r="J60" i="6" s="1"/>
  <c r="I208" i="7"/>
  <c r="M208" i="7" s="1"/>
  <c r="I689" i="7"/>
  <c r="M689" i="7" s="1"/>
  <c r="J366" i="6"/>
  <c r="J367" i="6" s="1"/>
  <c r="I52" i="4" s="1"/>
  <c r="I360" i="6"/>
  <c r="M360" i="6" s="1"/>
  <c r="J391" i="8"/>
  <c r="I384" i="7" s="1"/>
  <c r="J384" i="7" s="1"/>
  <c r="K85" i="4"/>
  <c r="I70" i="12"/>
  <c r="K87" i="4"/>
  <c r="I54" i="12"/>
  <c r="I21" i="12"/>
  <c r="K60" i="4"/>
  <c r="I445" i="7"/>
  <c r="M445" i="7" s="1"/>
  <c r="I164" i="6"/>
  <c r="J164" i="6" s="1"/>
  <c r="K83" i="4"/>
  <c r="I74" i="12"/>
  <c r="I1281" i="7"/>
  <c r="M1281" i="7" s="1"/>
  <c r="I557" i="6"/>
  <c r="J557" i="6" s="1"/>
  <c r="I463" i="7"/>
  <c r="M463" i="7" s="1"/>
  <c r="I166" i="6"/>
  <c r="J166" i="6" s="1"/>
  <c r="I15" i="12"/>
  <c r="K8" i="4"/>
  <c r="K84" i="4"/>
  <c r="I69" i="12"/>
  <c r="I20" i="12"/>
  <c r="K29" i="4"/>
  <c r="K89" i="4"/>
  <c r="I53" i="12"/>
  <c r="I32" i="12"/>
  <c r="K40" i="4"/>
  <c r="I56" i="12"/>
  <c r="K43" i="4"/>
  <c r="I769" i="7"/>
  <c r="M769" i="7" s="1"/>
  <c r="I329" i="6"/>
  <c r="J329" i="6" s="1"/>
  <c r="J330" i="6" s="1"/>
  <c r="K15" i="4"/>
  <c r="I63" i="12"/>
  <c r="I454" i="7"/>
  <c r="M454" i="7" s="1"/>
  <c r="I165" i="6"/>
  <c r="J165" i="6" s="1"/>
  <c r="J853" i="8"/>
  <c r="I571" i="7"/>
  <c r="J571" i="7" s="1"/>
  <c r="J572" i="7" s="1"/>
  <c r="I441" i="7"/>
  <c r="J441" i="7" s="1"/>
  <c r="J442" i="7" s="1"/>
  <c r="I459" i="8"/>
  <c r="M459" i="8" s="1"/>
  <c r="I1042" i="7"/>
  <c r="M1042" i="7" s="1"/>
  <c r="I480" i="6"/>
  <c r="J480" i="6" s="1"/>
  <c r="I525" i="7"/>
  <c r="M525" i="7" s="1"/>
  <c r="I173" i="6"/>
  <c r="J173" i="6" s="1"/>
  <c r="I258" i="8"/>
  <c r="J258" i="8" s="1"/>
  <c r="I192" i="9"/>
  <c r="M192" i="9" s="1"/>
  <c r="I527" i="6"/>
  <c r="J527" i="6" s="1"/>
  <c r="I1075" i="7"/>
  <c r="M1075" i="7" s="1"/>
  <c r="J264" i="6"/>
  <c r="J265" i="6" s="1"/>
  <c r="I39" i="4" s="1"/>
  <c r="I259" i="6"/>
  <c r="M259" i="6" s="1"/>
  <c r="I521" i="7"/>
  <c r="J521" i="7" s="1"/>
  <c r="J522" i="7" s="1"/>
  <c r="I494" i="7"/>
  <c r="J494" i="7" s="1"/>
  <c r="J495" i="7" s="1"/>
  <c r="I498" i="8"/>
  <c r="M498" i="8" s="1"/>
  <c r="I562" i="7"/>
  <c r="J562" i="7" s="1"/>
  <c r="J563" i="7" s="1"/>
  <c r="I423" i="7"/>
  <c r="J423" i="7" s="1"/>
  <c r="J424" i="7" s="1"/>
  <c r="I445" i="8"/>
  <c r="M445" i="8" s="1"/>
  <c r="I553" i="7"/>
  <c r="J553" i="7" s="1"/>
  <c r="J554" i="7" s="1"/>
  <c r="I414" i="7"/>
  <c r="J414" i="7" s="1"/>
  <c r="J415" i="7" s="1"/>
  <c r="I438" i="8"/>
  <c r="M438" i="8" s="1"/>
  <c r="I218" i="8"/>
  <c r="J218" i="8" s="1"/>
  <c r="I115" i="9"/>
  <c r="M115" i="9" s="1"/>
  <c r="I485" i="7"/>
  <c r="J485" i="7" s="1"/>
  <c r="J486" i="7" s="1"/>
  <c r="I491" i="8"/>
  <c r="M491" i="8" s="1"/>
  <c r="J222" i="6"/>
  <c r="I472" i="7"/>
  <c r="M472" i="7" s="1"/>
  <c r="I167" i="6"/>
  <c r="J167" i="6" s="1"/>
  <c r="I251" i="8"/>
  <c r="J251" i="8" s="1"/>
  <c r="J254" i="8" s="1"/>
  <c r="I183" i="9"/>
  <c r="M183" i="9" s="1"/>
  <c r="I259" i="8"/>
  <c r="J259" i="8" s="1"/>
  <c r="I219" i="8"/>
  <c r="J219" i="8" s="1"/>
  <c r="I125" i="9"/>
  <c r="M125" i="9" s="1"/>
  <c r="J233" i="6"/>
  <c r="I432" i="7"/>
  <c r="J432" i="7" s="1"/>
  <c r="J433" i="7" s="1"/>
  <c r="I452" i="8"/>
  <c r="M452" i="8" s="1"/>
  <c r="I227" i="8"/>
  <c r="J227" i="8" s="1"/>
  <c r="J230" i="8" s="1"/>
  <c r="I137" i="9"/>
  <c r="M137" i="9" s="1"/>
  <c r="J76" i="6"/>
  <c r="J77" i="6" s="1"/>
  <c r="I14" i="4" s="1"/>
  <c r="I72" i="6"/>
  <c r="M72" i="6" s="1"/>
  <c r="I435" i="6"/>
  <c r="J435" i="6" s="1"/>
  <c r="I868" i="7"/>
  <c r="M868" i="7" s="1"/>
  <c r="I478" i="6"/>
  <c r="J478" i="6" s="1"/>
  <c r="I242" i="8"/>
  <c r="J242" i="8" s="1"/>
  <c r="J245" i="8" s="1"/>
  <c r="I175" i="9"/>
  <c r="M175" i="9" s="1"/>
  <c r="K91" i="4"/>
  <c r="I42" i="12"/>
  <c r="K69" i="4" l="1"/>
  <c r="I45" i="12"/>
  <c r="K98" i="4"/>
  <c r="K69" i="12"/>
  <c r="K63" i="12"/>
  <c r="K54" i="12"/>
  <c r="K26" i="12"/>
  <c r="K88" i="4"/>
  <c r="K56" i="4"/>
  <c r="K52" i="12"/>
  <c r="K56" i="12"/>
  <c r="K20" i="12"/>
  <c r="K95" i="4"/>
  <c r="I67" i="12"/>
  <c r="K32" i="12"/>
  <c r="K50" i="4"/>
  <c r="I68" i="12"/>
  <c r="K33" i="12"/>
  <c r="I48" i="12"/>
  <c r="K42" i="12"/>
  <c r="K77" i="4"/>
  <c r="K65" i="12"/>
  <c r="K70" i="4"/>
  <c r="K18" i="12"/>
  <c r="I19" i="12"/>
  <c r="K70" i="12"/>
  <c r="K21" i="12"/>
  <c r="K53" i="12"/>
  <c r="K74" i="12"/>
  <c r="I24" i="12"/>
  <c r="K57" i="12"/>
  <c r="K27" i="12"/>
  <c r="K59" i="4"/>
  <c r="J729" i="6"/>
  <c r="J730" i="6" s="1"/>
  <c r="I92" i="4" s="1"/>
  <c r="K92" i="4" s="1"/>
  <c r="I44" i="12"/>
  <c r="I741" i="6"/>
  <c r="M741" i="6" s="1"/>
  <c r="K101" i="4"/>
  <c r="J21" i="2" s="1"/>
  <c r="G22" i="3" s="1"/>
  <c r="K22" i="3" s="1"/>
  <c r="K22" i="4"/>
  <c r="I733" i="6"/>
  <c r="M733" i="6" s="1"/>
  <c r="I37" i="12"/>
  <c r="I374" i="7"/>
  <c r="J374" i="7" s="1"/>
  <c r="K53" i="4"/>
  <c r="I385" i="7"/>
  <c r="J385" i="7" s="1"/>
  <c r="J386" i="7" s="1"/>
  <c r="I51" i="12"/>
  <c r="I526" i="6"/>
  <c r="J526" i="6" s="1"/>
  <c r="J533" i="6" s="1"/>
  <c r="J534" i="6" s="1"/>
  <c r="J535" i="6" s="1"/>
  <c r="I72" i="4" s="1"/>
  <c r="I37" i="7"/>
  <c r="M37" i="7" s="1"/>
  <c r="I95" i="8"/>
  <c r="J95" i="8" s="1"/>
  <c r="J96" i="8" s="1"/>
  <c r="I99" i="7" s="1"/>
  <c r="J99" i="7" s="1"/>
  <c r="J105" i="7" s="1"/>
  <c r="I405" i="8"/>
  <c r="M405" i="8" s="1"/>
  <c r="I205" i="6"/>
  <c r="J205" i="6" s="1"/>
  <c r="J206" i="6" s="1"/>
  <c r="J207" i="6" s="1"/>
  <c r="J208" i="6" s="1"/>
  <c r="I32" i="4" s="1"/>
  <c r="I405" i="7"/>
  <c r="J405" i="7" s="1"/>
  <c r="J406" i="7" s="1"/>
  <c r="I159" i="6" s="1"/>
  <c r="J159" i="6" s="1"/>
  <c r="I36" i="12"/>
  <c r="I660" i="7"/>
  <c r="M660" i="7" s="1"/>
  <c r="I170" i="6"/>
  <c r="J170" i="6" s="1"/>
  <c r="I299" i="7"/>
  <c r="M299" i="7" s="1"/>
  <c r="I132" i="6"/>
  <c r="J132" i="6" s="1"/>
  <c r="J135" i="6" s="1"/>
  <c r="J136" i="6" s="1"/>
  <c r="J137" i="6" s="1"/>
  <c r="I24" i="4" s="1"/>
  <c r="J710" i="6"/>
  <c r="J711" i="6" s="1"/>
  <c r="I90" i="4" s="1"/>
  <c r="I630" i="6"/>
  <c r="J630" i="6" s="1"/>
  <c r="J631" i="6" s="1"/>
  <c r="I625" i="6" s="1"/>
  <c r="M625" i="6" s="1"/>
  <c r="I71" i="12"/>
  <c r="K86" i="4"/>
  <c r="J283" i="6"/>
  <c r="I279" i="6" s="1"/>
  <c r="M279" i="6" s="1"/>
  <c r="I554" i="8"/>
  <c r="M554" i="8" s="1"/>
  <c r="K79" i="4"/>
  <c r="I34" i="12"/>
  <c r="J436" i="6"/>
  <c r="J437" i="6" s="1"/>
  <c r="J438" i="6" s="1"/>
  <c r="I64" i="4" s="1"/>
  <c r="I171" i="6"/>
  <c r="J171" i="6" s="1"/>
  <c r="J558" i="6"/>
  <c r="I538" i="6" s="1"/>
  <c r="M538" i="6" s="1"/>
  <c r="I174" i="6"/>
  <c r="J174" i="6" s="1"/>
  <c r="I35" i="12"/>
  <c r="I370" i="8"/>
  <c r="M370" i="8" s="1"/>
  <c r="I363" i="7"/>
  <c r="J363" i="7" s="1"/>
  <c r="J364" i="7" s="1"/>
  <c r="I155" i="6" s="1"/>
  <c r="J155" i="6" s="1"/>
  <c r="J481" i="6"/>
  <c r="I455" i="6" s="1"/>
  <c r="M455" i="6" s="1"/>
  <c r="I382" i="8"/>
  <c r="M382" i="8" s="1"/>
  <c r="I373" i="7"/>
  <c r="J373" i="7" s="1"/>
  <c r="I31" i="12"/>
  <c r="K52" i="4"/>
  <c r="K14" i="4"/>
  <c r="I47" i="12"/>
  <c r="K94" i="4"/>
  <c r="I58" i="12"/>
  <c r="I72" i="12"/>
  <c r="K93" i="4"/>
  <c r="I427" i="7"/>
  <c r="M427" i="7" s="1"/>
  <c r="I162" i="6"/>
  <c r="J162" i="6" s="1"/>
  <c r="I409" i="7"/>
  <c r="M409" i="7" s="1"/>
  <c r="I160" i="6"/>
  <c r="J160" i="6" s="1"/>
  <c r="J260" i="8"/>
  <c r="I436" i="7"/>
  <c r="M436" i="7" s="1"/>
  <c r="I163" i="6"/>
  <c r="J163" i="6" s="1"/>
  <c r="I846" i="8"/>
  <c r="M846" i="8" s="1"/>
  <c r="I1445" i="7"/>
  <c r="J1445" i="7" s="1"/>
  <c r="J1448" i="7" s="1"/>
  <c r="I1438" i="7"/>
  <c r="J1438" i="7" s="1"/>
  <c r="J1441" i="7" s="1"/>
  <c r="I1431" i="7"/>
  <c r="J1431" i="7" s="1"/>
  <c r="J1434" i="7" s="1"/>
  <c r="J331" i="6"/>
  <c r="J332" i="6" s="1"/>
  <c r="I47" i="4" s="1"/>
  <c r="I322" i="6"/>
  <c r="M322" i="6" s="1"/>
  <c r="K7" i="4"/>
  <c r="K15" i="12"/>
  <c r="I566" i="7"/>
  <c r="M566" i="7" s="1"/>
  <c r="I177" i="6"/>
  <c r="J177" i="6" s="1"/>
  <c r="K64" i="12"/>
  <c r="J223" i="6"/>
  <c r="J224" i="6" s="1"/>
  <c r="I33" i="4" s="1"/>
  <c r="I211" i="6"/>
  <c r="M211" i="6" s="1"/>
  <c r="K67" i="12"/>
  <c r="I224" i="7"/>
  <c r="J224" i="7" s="1"/>
  <c r="I248" i="8"/>
  <c r="M248" i="8" s="1"/>
  <c r="I548" i="7"/>
  <c r="M548" i="7" s="1"/>
  <c r="I175" i="6"/>
  <c r="J175" i="6" s="1"/>
  <c r="I11" i="12"/>
  <c r="K39" i="4"/>
  <c r="I223" i="7"/>
  <c r="J223" i="7" s="1"/>
  <c r="I239" i="8"/>
  <c r="M239" i="8" s="1"/>
  <c r="I389" i="7"/>
  <c r="M389" i="7" s="1"/>
  <c r="I158" i="6"/>
  <c r="J158" i="6" s="1"/>
  <c r="I516" i="7"/>
  <c r="M516" i="7" s="1"/>
  <c r="I172" i="6"/>
  <c r="J172" i="6" s="1"/>
  <c r="J148" i="6"/>
  <c r="J149" i="6" s="1"/>
  <c r="I25" i="4" s="1"/>
  <c r="I140" i="6"/>
  <c r="M140" i="6" s="1"/>
  <c r="I480" i="7"/>
  <c r="M480" i="7" s="1"/>
  <c r="I168" i="6"/>
  <c r="J168" i="6" s="1"/>
  <c r="J234" i="6"/>
  <c r="J235" i="6" s="1"/>
  <c r="I34" i="4" s="1"/>
  <c r="I227" i="6"/>
  <c r="M227" i="6" s="1"/>
  <c r="J246" i="6"/>
  <c r="J247" i="6" s="1"/>
  <c r="I37" i="4" s="1"/>
  <c r="I238" i="6"/>
  <c r="M238" i="6" s="1"/>
  <c r="K36" i="12"/>
  <c r="I575" i="7"/>
  <c r="M575" i="7" s="1"/>
  <c r="I178" i="6"/>
  <c r="J178" i="6" s="1"/>
  <c r="J255" i="6"/>
  <c r="J256" i="6" s="1"/>
  <c r="I38" i="4" s="1"/>
  <c r="I250" i="6"/>
  <c r="M250" i="6" s="1"/>
  <c r="I557" i="7"/>
  <c r="M557" i="7" s="1"/>
  <c r="I176" i="6"/>
  <c r="J176" i="6" s="1"/>
  <c r="I221" i="7"/>
  <c r="J221" i="7" s="1"/>
  <c r="I223" i="8"/>
  <c r="M223" i="8" s="1"/>
  <c r="J220" i="8"/>
  <c r="I161" i="6"/>
  <c r="J161" i="6" s="1"/>
  <c r="I418" i="7"/>
  <c r="M418" i="7" s="1"/>
  <c r="I489" i="7"/>
  <c r="M489" i="7" s="1"/>
  <c r="I169" i="6"/>
  <c r="J169" i="6" s="1"/>
  <c r="J25" i="6"/>
  <c r="J26" i="6" s="1"/>
  <c r="I11" i="4" s="1"/>
  <c r="I16" i="6"/>
  <c r="I343" i="7"/>
  <c r="M343" i="7" s="1"/>
  <c r="I154" i="6"/>
  <c r="J154" i="6" s="1"/>
  <c r="K35" i="12" l="1"/>
  <c r="K48" i="12"/>
  <c r="K58" i="4"/>
  <c r="J15" i="2" s="1"/>
  <c r="G16" i="3" s="1"/>
  <c r="K73" i="12"/>
  <c r="K68" i="12"/>
  <c r="K19" i="12"/>
  <c r="K47" i="12"/>
  <c r="K71" i="12"/>
  <c r="K44" i="12"/>
  <c r="K34" i="12"/>
  <c r="K72" i="12"/>
  <c r="K31" i="12"/>
  <c r="K51" i="12"/>
  <c r="I73" i="12"/>
  <c r="I50" i="12"/>
  <c r="K24" i="12"/>
  <c r="K11" i="12"/>
  <c r="K58" i="12"/>
  <c r="K37" i="12"/>
  <c r="J284" i="6"/>
  <c r="J285" i="6" s="1"/>
  <c r="I41" i="4" s="1"/>
  <c r="M22" i="3"/>
  <c r="I22" i="3"/>
  <c r="I92" i="8"/>
  <c r="M92" i="8" s="1"/>
  <c r="J375" i="7"/>
  <c r="I156" i="6" s="1"/>
  <c r="J156" i="6" s="1"/>
  <c r="I193" i="6"/>
  <c r="M193" i="6" s="1"/>
  <c r="J559" i="6"/>
  <c r="J560" i="6" s="1"/>
  <c r="I73" i="4" s="1"/>
  <c r="J632" i="6"/>
  <c r="J633" i="6" s="1"/>
  <c r="I82" i="4" s="1"/>
  <c r="K90" i="4"/>
  <c r="I399" i="7"/>
  <c r="M399" i="7" s="1"/>
  <c r="K76" i="4"/>
  <c r="J18" i="2" s="1"/>
  <c r="G19" i="3" s="1"/>
  <c r="I128" i="6"/>
  <c r="M128" i="6" s="1"/>
  <c r="I429" i="6"/>
  <c r="M429" i="6" s="1"/>
  <c r="J482" i="6"/>
  <c r="J483" i="6" s="1"/>
  <c r="I66" i="4" s="1"/>
  <c r="I355" i="7"/>
  <c r="M355" i="7" s="1"/>
  <c r="I523" i="6"/>
  <c r="M523" i="6" s="1"/>
  <c r="K49" i="4"/>
  <c r="J14" i="2" s="1"/>
  <c r="G15" i="3" s="1"/>
  <c r="I8" i="12"/>
  <c r="K47" i="4"/>
  <c r="K34" i="4"/>
  <c r="I16" i="12"/>
  <c r="I29" i="12"/>
  <c r="K38" i="4"/>
  <c r="I30" i="12"/>
  <c r="K24" i="4"/>
  <c r="I219" i="7"/>
  <c r="J219" i="7" s="1"/>
  <c r="J225" i="7" s="1"/>
  <c r="I217" i="8"/>
  <c r="M217" i="8" s="1"/>
  <c r="I1437" i="7"/>
  <c r="M1437" i="7" s="1"/>
  <c r="I771" i="6"/>
  <c r="J771" i="6" s="1"/>
  <c r="K72" i="4"/>
  <c r="I46" i="12"/>
  <c r="I22" i="12"/>
  <c r="K25" i="4"/>
  <c r="I9" i="12"/>
  <c r="K37" i="4"/>
  <c r="J7" i="2"/>
  <c r="I1444" i="7"/>
  <c r="M1444" i="7" s="1"/>
  <c r="I772" i="6"/>
  <c r="J772" i="6" s="1"/>
  <c r="I157" i="6"/>
  <c r="J157" i="6" s="1"/>
  <c r="I378" i="7"/>
  <c r="M378" i="7" s="1"/>
  <c r="I90" i="7"/>
  <c r="M90" i="7" s="1"/>
  <c r="I47" i="6"/>
  <c r="J47" i="6" s="1"/>
  <c r="J48" i="6" s="1"/>
  <c r="I12" i="12"/>
  <c r="K33" i="4"/>
  <c r="I10" i="12"/>
  <c r="K32" i="4"/>
  <c r="I62" i="12"/>
  <c r="K11" i="4"/>
  <c r="I1430" i="7"/>
  <c r="M1430" i="7" s="1"/>
  <c r="I770" i="6"/>
  <c r="J770" i="6" s="1"/>
  <c r="I241" i="7"/>
  <c r="J241" i="7" s="1"/>
  <c r="J245" i="7" s="1"/>
  <c r="I257" i="8"/>
  <c r="M257" i="8" s="1"/>
  <c r="K64" i="4"/>
  <c r="I43" i="12"/>
  <c r="K41" i="4" l="1"/>
  <c r="K36" i="4" s="1"/>
  <c r="J12" i="2" s="1"/>
  <c r="K29" i="12"/>
  <c r="K22" i="12"/>
  <c r="K12" i="12"/>
  <c r="K50" i="12"/>
  <c r="K73" i="4"/>
  <c r="K68" i="4" s="1"/>
  <c r="J17" i="2" s="1"/>
  <c r="K16" i="12"/>
  <c r="K66" i="4"/>
  <c r="K82" i="4"/>
  <c r="K81" i="4" s="1"/>
  <c r="J19" i="2" s="1"/>
  <c r="I367" i="7"/>
  <c r="M367" i="7" s="1"/>
  <c r="O22" i="3"/>
  <c r="I17" i="12"/>
  <c r="I38" i="12"/>
  <c r="I59" i="12"/>
  <c r="I41" i="12"/>
  <c r="J179" i="6"/>
  <c r="J180" i="6" s="1"/>
  <c r="J181" i="6" s="1"/>
  <c r="I28" i="4" s="1"/>
  <c r="J773" i="6"/>
  <c r="J774" i="6" s="1"/>
  <c r="J775" i="6" s="1"/>
  <c r="I99" i="4" s="1"/>
  <c r="K31" i="4"/>
  <c r="J11" i="2" s="1"/>
  <c r="K10" i="12"/>
  <c r="J49" i="6"/>
  <c r="J50" i="6" s="1"/>
  <c r="I12" i="4" s="1"/>
  <c r="I29" i="6"/>
  <c r="M29" i="6" s="1"/>
  <c r="M15" i="3"/>
  <c r="K15" i="3"/>
  <c r="I15" i="3"/>
  <c r="K43" i="12"/>
  <c r="I63" i="6"/>
  <c r="J63" i="6" s="1"/>
  <c r="I236" i="7"/>
  <c r="M236" i="7" s="1"/>
  <c r="K19" i="3"/>
  <c r="I19" i="3"/>
  <c r="M19" i="3"/>
  <c r="G8" i="3"/>
  <c r="I61" i="6"/>
  <c r="J61" i="6" s="1"/>
  <c r="I217" i="7"/>
  <c r="M217" i="7" s="1"/>
  <c r="K46" i="12"/>
  <c r="K30" i="12"/>
  <c r="K21" i="4"/>
  <c r="J9" i="2" s="1"/>
  <c r="K46" i="4"/>
  <c r="J13" i="2" s="1"/>
  <c r="K8" i="12"/>
  <c r="K62" i="12"/>
  <c r="K9" i="12"/>
  <c r="K16" i="3"/>
  <c r="I16" i="3"/>
  <c r="M16" i="3"/>
  <c r="K59" i="12" l="1"/>
  <c r="K38" i="12"/>
  <c r="K41" i="12"/>
  <c r="K17" i="12"/>
  <c r="K63" i="4"/>
  <c r="J16" i="2" s="1"/>
  <c r="G17" i="3" s="1"/>
  <c r="J67" i="6"/>
  <c r="I53" i="6" s="1"/>
  <c r="M53" i="6" s="1"/>
  <c r="I152" i="6"/>
  <c r="M152" i="6" s="1"/>
  <c r="I769" i="6"/>
  <c r="M769" i="6" s="1"/>
  <c r="K28" i="4"/>
  <c r="I7" i="12"/>
  <c r="K99" i="4"/>
  <c r="I66" i="12"/>
  <c r="G14" i="3"/>
  <c r="M8" i="3"/>
  <c r="I8" i="3"/>
  <c r="K8" i="3"/>
  <c r="G10" i="3"/>
  <c r="O19" i="3"/>
  <c r="I55" i="12"/>
  <c r="K12" i="4"/>
  <c r="G13" i="3"/>
  <c r="G20" i="3"/>
  <c r="O15" i="3"/>
  <c r="G12" i="3"/>
  <c r="G18" i="3"/>
  <c r="O16" i="3"/>
  <c r="J68" i="6" l="1"/>
  <c r="J69" i="6" s="1"/>
  <c r="I13" i="4" s="1"/>
  <c r="M14" i="3"/>
  <c r="I14" i="3"/>
  <c r="K14" i="3"/>
  <c r="K13" i="3"/>
  <c r="I13" i="3"/>
  <c r="M13" i="3"/>
  <c r="O8" i="3"/>
  <c r="K10" i="3"/>
  <c r="I10" i="3"/>
  <c r="M10" i="3"/>
  <c r="M18" i="3"/>
  <c r="K18" i="3"/>
  <c r="I18" i="3"/>
  <c r="K27" i="4"/>
  <c r="J10" i="2" s="1"/>
  <c r="K7" i="12"/>
  <c r="K55" i="12"/>
  <c r="I17" i="3"/>
  <c r="K17" i="3"/>
  <c r="M17" i="3"/>
  <c r="M12" i="3"/>
  <c r="K12" i="3"/>
  <c r="I12" i="3"/>
  <c r="M20" i="3"/>
  <c r="I20" i="3"/>
  <c r="K20" i="3"/>
  <c r="K66" i="12"/>
  <c r="K97" i="4"/>
  <c r="J20" i="2" s="1"/>
  <c r="I39" i="12" l="1"/>
  <c r="K13" i="4"/>
  <c r="O13" i="3"/>
  <c r="O17" i="3"/>
  <c r="O18" i="3"/>
  <c r="O14" i="3"/>
  <c r="O10" i="3"/>
  <c r="G21" i="3"/>
  <c r="O20" i="3"/>
  <c r="G11" i="3"/>
  <c r="O12" i="3"/>
  <c r="K39" i="12" l="1"/>
  <c r="K76" i="12" s="1"/>
  <c r="M66" i="12" s="1"/>
  <c r="K10" i="4"/>
  <c r="J8" i="2" s="1"/>
  <c r="I11" i="3"/>
  <c r="M11" i="3"/>
  <c r="K11" i="3"/>
  <c r="M21" i="3"/>
  <c r="K21" i="3"/>
  <c r="I21" i="3"/>
  <c r="M43" i="12" l="1"/>
  <c r="M74" i="12"/>
  <c r="M35" i="12"/>
  <c r="M58" i="12"/>
  <c r="M57" i="12"/>
  <c r="M30" i="12"/>
  <c r="M47" i="12"/>
  <c r="M50" i="12"/>
  <c r="M34" i="12"/>
  <c r="M11" i="12"/>
  <c r="M64" i="12"/>
  <c r="M69" i="12"/>
  <c r="M32" i="12"/>
  <c r="M19" i="12"/>
  <c r="M33" i="12"/>
  <c r="M65" i="12"/>
  <c r="M14" i="12"/>
  <c r="M55" i="12"/>
  <c r="M22" i="12"/>
  <c r="M73" i="12"/>
  <c r="M18" i="12"/>
  <c r="M53" i="12"/>
  <c r="M71" i="12"/>
  <c r="M25" i="12"/>
  <c r="M51" i="12"/>
  <c r="M29" i="12"/>
  <c r="M20" i="12"/>
  <c r="M31" i="12"/>
  <c r="M60" i="12"/>
  <c r="M44" i="12"/>
  <c r="M8" i="12"/>
  <c r="M59" i="12"/>
  <c r="M41" i="12"/>
  <c r="M67" i="12"/>
  <c r="M17" i="12"/>
  <c r="M54" i="12"/>
  <c r="M63" i="12"/>
  <c r="M61" i="12"/>
  <c r="M28" i="12"/>
  <c r="M27" i="12"/>
  <c r="M49" i="12"/>
  <c r="M39" i="12"/>
  <c r="M62" i="12"/>
  <c r="M70" i="12"/>
  <c r="M10" i="12"/>
  <c r="M16" i="12"/>
  <c r="M72" i="12"/>
  <c r="M21" i="12"/>
  <c r="M36" i="12"/>
  <c r="M68" i="12"/>
  <c r="M12" i="12"/>
  <c r="M7" i="12"/>
  <c r="M46" i="12"/>
  <c r="M9" i="12"/>
  <c r="M38" i="12"/>
  <c r="M15" i="12"/>
  <c r="M24" i="12"/>
  <c r="M56" i="12"/>
  <c r="M42" i="12"/>
  <c r="M37" i="12"/>
  <c r="M13" i="12"/>
  <c r="M45" i="12"/>
  <c r="M40" i="12"/>
  <c r="M48" i="12"/>
  <c r="M26" i="12"/>
  <c r="M52" i="12"/>
  <c r="M23" i="12"/>
  <c r="K105" i="4"/>
  <c r="O21" i="3"/>
  <c r="O11" i="3"/>
  <c r="G9" i="3"/>
  <c r="J22" i="2"/>
  <c r="K8" i="2" s="1"/>
  <c r="M76" i="12" l="1"/>
  <c r="J7" i="1"/>
  <c r="K21" i="2"/>
  <c r="K15" i="2"/>
  <c r="K18" i="2"/>
  <c r="K14" i="2"/>
  <c r="K7" i="2"/>
  <c r="K11" i="2"/>
  <c r="K17" i="2"/>
  <c r="K12" i="2"/>
  <c r="K19" i="2"/>
  <c r="K9" i="2"/>
  <c r="K13" i="2"/>
  <c r="K16" i="2"/>
  <c r="K20" i="2"/>
  <c r="K10" i="2"/>
  <c r="M9" i="3"/>
  <c r="K9" i="3"/>
  <c r="K23" i="3" s="1"/>
  <c r="I9" i="3"/>
  <c r="I23" i="3" s="1"/>
  <c r="G23" i="3"/>
  <c r="H9" i="3" s="1"/>
  <c r="H7" i="1" l="1"/>
  <c r="L7" i="1" s="1"/>
  <c r="Q11" i="3"/>
  <c r="J23" i="3"/>
  <c r="I24" i="3"/>
  <c r="J24" i="3" s="1"/>
  <c r="K22" i="2"/>
  <c r="L23" i="3"/>
  <c r="O9" i="3"/>
  <c r="M23" i="3"/>
  <c r="H22" i="3"/>
  <c r="Q22" i="3"/>
  <c r="H16" i="3"/>
  <c r="H19" i="3"/>
  <c r="H15" i="3"/>
  <c r="H8" i="3"/>
  <c r="H12" i="3"/>
  <c r="H20" i="3"/>
  <c r="Q19" i="3"/>
  <c r="H14" i="3"/>
  <c r="H17" i="3"/>
  <c r="Q15" i="3"/>
  <c r="H18" i="3"/>
  <c r="Q16" i="3"/>
  <c r="H13" i="3"/>
  <c r="H10" i="3"/>
  <c r="Q14" i="3"/>
  <c r="Q10" i="3"/>
  <c r="Q17" i="3"/>
  <c r="Q18" i="3"/>
  <c r="Q8" i="3"/>
  <c r="Q13" i="3"/>
  <c r="Q20" i="3"/>
  <c r="H21" i="3"/>
  <c r="H11" i="3"/>
  <c r="Q12" i="3"/>
  <c r="Q21" i="3"/>
  <c r="Q9" i="3" l="1"/>
  <c r="Q23" i="3" s="1"/>
  <c r="O23" i="3"/>
  <c r="H23" i="3"/>
  <c r="N23" i="3"/>
  <c r="P23" i="3" s="1"/>
  <c r="K24" i="3"/>
  <c r="L24" i="3" s="1"/>
  <c r="M24" i="3" l="1"/>
  <c r="N24" i="3" s="1"/>
</calcChain>
</file>

<file path=xl/sharedStrings.xml><?xml version="1.0" encoding="utf-8"?>
<sst xmlns="http://schemas.openxmlformats.org/spreadsheetml/2006/main" count="8468" uniqueCount="1648">
  <si>
    <t>MUNICÍPIO DE PICOS - PI</t>
  </si>
  <si>
    <t>AMPLIAÇÃO ANTIGO PRÉDIO IAPEP PICOS</t>
  </si>
  <si>
    <t>DADOS DA OBRA</t>
  </si>
  <si>
    <t>DATA BASE:</t>
  </si>
  <si>
    <t>COM DESONERAÇÃO</t>
  </si>
  <si>
    <t>LEIS SOCIAIS (%):</t>
  </si>
  <si>
    <t>BDI (%):</t>
  </si>
  <si>
    <t>DESCRIÇÃO</t>
  </si>
  <si>
    <t>RECURSO (R$)</t>
  </si>
  <si>
    <t>TOTAL (R$)</t>
  </si>
  <si>
    <t>(Diferença)</t>
  </si>
  <si>
    <t/>
  </si>
  <si>
    <t>ENDEREÇO</t>
  </si>
  <si>
    <t>PICOS</t>
  </si>
  <si>
    <t>OBSERVAÇÕES IMPORTANTES</t>
  </si>
  <si>
    <t>OBS-1: Conforme metodologia de cálculo da Caixa Econômica Federal, foi utilizado arredondamento normal para duas casa decimais em todos os cálculos, exceto para o cálculo do valor total de cada item das composições de custos, no qual foi utilizado arredondamento truncado até a segunda casa decimal. Visto que a metodologia de cálculo das tabelas SEINFRA e ORSE utilizam arredondamentos diferentes, suas composições foram compatibilizadas com o mesmo arredondamento utilizado pela tabela SINAPI, assim, é expressamente recomendável que os preços calculados sejam revisados na planilha de composições, quando esta for gerada.</t>
  </si>
  <si>
    <t>OBS-2: As composições com mão-de-obra e insumos separados apresentam uma precisão de cálculo maior que as composições normais, podendo apresentar o resultado do valor total do serviço divergente da tabela de origem, sendo aconselhável a revisão da planilha de composições quando selecionada a opção de mão-de-obra e insumos separados e da curva ABC de Insumos.</t>
  </si>
  <si>
    <t>OBS-3: Todas as composições de preços da tabela ORSE foram compatibilizadas nos seguintes quesitos:
1 - O ORSE divulga dois formatos de composições para cada serviço, sendo uma analítica e uma no formtato de lista de materiais, calculando a partir desta última o preço final de cada serviço. Visto que a tabela SINAPI, da Caixa Econômica Federal divulga as composições de serviços na forma analítica, apenas, optou-se pela utilização das composições da tabela ORSE também na forma analítica, mesmo que o cálculo do custo dos serviços sejam diferentes das tabelas publicadas;
2 - O ORSE divulga apenas os preços para o estado de Sergipe e SEM DESONERAÇÃO da folha, assim, todas as composições foram compatibilizadas nos preços de serviços e insumos com origem na tabela SINAPI, conforme a opção do estado e desoneração da folha, selecionados pelo usuários nos dados da Obra;
Ressaltamos que os preços das tabelas, de serviços e insumos, publicadas pelo ORSE não serão alterados, sendo alterados apenas os preços de serviços e insumos dentro de suas composições, dos itens com origem na tabela SINAPI, permanecendo inalterados os itens, de insumo ou composição, com origem na tabela ORSE. Esta metodologia foi adotada ao entender que os custos, numa mesma planilha orçamentária, não devem apresentar divergências numa mesma classe de serviços ou insumos. Assim, para o bom entendimento do profissional orçamentista, é expressamente recomendável que os preços calculados sejam revisados na planilha de composições, quando esta for gerada.</t>
  </si>
  <si>
    <t>PLANILHA RESUMO</t>
  </si>
  <si>
    <t>ITEM</t>
  </si>
  <si>
    <t>TOTAL (%)</t>
  </si>
  <si>
    <t>TOTAL</t>
  </si>
  <si>
    <t>CRONOGRAMA FÍSICO-FINANCEIRO</t>
  </si>
  <si>
    <t>30 DIAS</t>
  </si>
  <si>
    <t>60 DIAS</t>
  </si>
  <si>
    <t>90 DIAS</t>
  </si>
  <si>
    <t>META</t>
  </si>
  <si>
    <t>GERAL</t>
  </si>
  <si>
    <t>TOTAL GERAL</t>
  </si>
  <si>
    <t>TOTAL ACUMULADO</t>
  </si>
  <si>
    <t>PLANILHA ORÇAMENTÁRIA</t>
  </si>
  <si>
    <t>CÓDIGO</t>
  </si>
  <si>
    <t>UNID</t>
  </si>
  <si>
    <t>QUANT</t>
  </si>
  <si>
    <t>P. UNIT. C/BDI</t>
  </si>
  <si>
    <t>1.1</t>
  </si>
  <si>
    <t>2.1</t>
  </si>
  <si>
    <t>2.2</t>
  </si>
  <si>
    <t>2.3</t>
  </si>
  <si>
    <t>2.4</t>
  </si>
  <si>
    <t>2.5</t>
  </si>
  <si>
    <t>2.6</t>
  </si>
  <si>
    <t>2.7</t>
  </si>
  <si>
    <t>Este item deve ser revisado!</t>
  </si>
  <si>
    <t>2.8</t>
  </si>
  <si>
    <t>2.9</t>
  </si>
  <si>
    <t>3.1</t>
  </si>
  <si>
    <t>3.2</t>
  </si>
  <si>
    <t>3.3</t>
  </si>
  <si>
    <t>3.4</t>
  </si>
  <si>
    <t>4.1</t>
  </si>
  <si>
    <t>4.2</t>
  </si>
  <si>
    <t>5.1</t>
  </si>
  <si>
    <t>5.2</t>
  </si>
  <si>
    <t>5.3</t>
  </si>
  <si>
    <t>6.1</t>
  </si>
  <si>
    <t>6.2</t>
  </si>
  <si>
    <t>6.3</t>
  </si>
  <si>
    <t>6.4</t>
  </si>
  <si>
    <t>6.5</t>
  </si>
  <si>
    <t>6.6</t>
  </si>
  <si>
    <t>6.7</t>
  </si>
  <si>
    <t>6.8</t>
  </si>
  <si>
    <t>7.1</t>
  </si>
  <si>
    <t>8.1</t>
  </si>
  <si>
    <t>8.2</t>
  </si>
  <si>
    <t>8.3</t>
  </si>
  <si>
    <t>8.4</t>
  </si>
  <si>
    <t>8.5</t>
  </si>
  <si>
    <t>8.6</t>
  </si>
  <si>
    <t>8.7</t>
  </si>
  <si>
    <t>9.1</t>
  </si>
  <si>
    <t>9.2</t>
  </si>
  <si>
    <t>9.3</t>
  </si>
  <si>
    <t>10.1</t>
  </si>
  <si>
    <t>10.2</t>
  </si>
  <si>
    <t>10.3</t>
  </si>
  <si>
    <t>11.1</t>
  </si>
  <si>
    <t>11.2</t>
  </si>
  <si>
    <t>11.3</t>
  </si>
  <si>
    <t>11.4</t>
  </si>
  <si>
    <t>11.5</t>
  </si>
  <si>
    <t>11.6</t>
  </si>
  <si>
    <t>12.1</t>
  </si>
  <si>
    <t>12.2</t>
  </si>
  <si>
    <t>12.3</t>
  </si>
  <si>
    <t>13.1</t>
  </si>
  <si>
    <t>13.2</t>
  </si>
  <si>
    <t>13.3</t>
  </si>
  <si>
    <t>13.4</t>
  </si>
  <si>
    <t>13.5</t>
  </si>
  <si>
    <t>13.6</t>
  </si>
  <si>
    <t>13.7</t>
  </si>
  <si>
    <t>13.8</t>
  </si>
  <si>
    <t>13.9</t>
  </si>
  <si>
    <t>13.10</t>
  </si>
  <si>
    <t>13.11</t>
  </si>
  <si>
    <t>13.12</t>
  </si>
  <si>
    <t>13.13</t>
  </si>
  <si>
    <t>13.14</t>
  </si>
  <si>
    <t>14.1</t>
  </si>
  <si>
    <t>14.2</t>
  </si>
  <si>
    <t>15.1</t>
  </si>
  <si>
    <t>15.2</t>
  </si>
  <si>
    <t>MEMÓRIA DE CÁLCULO</t>
  </si>
  <si>
    <t>COEF</t>
  </si>
  <si>
    <t>COMP (m)</t>
  </si>
  <si>
    <t>LARG (m)</t>
  </si>
  <si>
    <t>ALT (m)</t>
  </si>
  <si>
    <t>ÁREA (m2)</t>
  </si>
  <si>
    <t>VOL (m3)</t>
  </si>
  <si>
    <t>PARCIAL</t>
  </si>
  <si>
    <t>ADMINISTRAÇÃO LOCAL DE OBRA</t>
  </si>
  <si>
    <t>adm. loc.</t>
  </si>
  <si>
    <t>1.1.1</t>
  </si>
  <si>
    <t>SERVIÇOS PRELIMINARES</t>
  </si>
  <si>
    <t>placa.1</t>
  </si>
  <si>
    <t>2.1.1</t>
  </si>
  <si>
    <t>06096/orse</t>
  </si>
  <si>
    <t>2.2.1</t>
  </si>
  <si>
    <t>11122/orse</t>
  </si>
  <si>
    <t>2.3.1</t>
  </si>
  <si>
    <t>2.4.1</t>
  </si>
  <si>
    <t>2.5.1</t>
  </si>
  <si>
    <t>c0143</t>
  </si>
  <si>
    <t>2.6.1</t>
  </si>
  <si>
    <t>2 furos de 5 metros</t>
  </si>
  <si>
    <t>07102/orse</t>
  </si>
  <si>
    <t>PROJETO ESTRUTURAL INCLUINDO FUNDAÇÕES CONCRETO ARMADO, ATÉ 500M²</t>
  </si>
  <si>
    <t>M²</t>
  </si>
  <si>
    <t>2.7.1</t>
  </si>
  <si>
    <t>proj.hidro</t>
  </si>
  <si>
    <t>2.8.1</t>
  </si>
  <si>
    <t>proj.sanit</t>
  </si>
  <si>
    <t>2.9.1</t>
  </si>
  <si>
    <t>movimentação de terra / fundações</t>
  </si>
  <si>
    <t>3.1.1</t>
  </si>
  <si>
    <t>parede horizontal 1</t>
  </si>
  <si>
    <t>3.1.2</t>
  </si>
  <si>
    <t>parede horizontal 2</t>
  </si>
  <si>
    <t>3.1.3</t>
  </si>
  <si>
    <t>parede horizontal 3</t>
  </si>
  <si>
    <t>3.1.4</t>
  </si>
  <si>
    <t>parede vertical 1</t>
  </si>
  <si>
    <t>3.1.5</t>
  </si>
  <si>
    <t>parede vertical 2</t>
  </si>
  <si>
    <t>3.1.6</t>
  </si>
  <si>
    <t>parede vertical 3</t>
  </si>
  <si>
    <t>c0054</t>
  </si>
  <si>
    <t>3.2.1</t>
  </si>
  <si>
    <t>volume de escavação das paredes</t>
  </si>
  <si>
    <t>3.3.1</t>
  </si>
  <si>
    <t>alvenaria entre fundação e viga baldrame (perimetro das paredes x 0,3 altura)</t>
  </si>
  <si>
    <t>3.4.1</t>
  </si>
  <si>
    <t>aterro área de piso</t>
  </si>
  <si>
    <t>3.4.2</t>
  </si>
  <si>
    <t>aterro área do palco</t>
  </si>
  <si>
    <t>3.4.3</t>
  </si>
  <si>
    <t>aterro área banheiros</t>
  </si>
  <si>
    <t>estrutural</t>
  </si>
  <si>
    <t>4.1.1</t>
  </si>
  <si>
    <t>vigas inferiores</t>
  </si>
  <si>
    <t>4.1.2</t>
  </si>
  <si>
    <t>vigas superiores</t>
  </si>
  <si>
    <t>4.1.3</t>
  </si>
  <si>
    <t>pilares</t>
  </si>
  <si>
    <t>4.2.1</t>
  </si>
  <si>
    <t>perimetro das vigas</t>
  </si>
  <si>
    <t>4.2.2</t>
  </si>
  <si>
    <t>perimetro das alvenarias x 0,7m de altura</t>
  </si>
  <si>
    <t>cobertura</t>
  </si>
  <si>
    <t>5.1.1</t>
  </si>
  <si>
    <t>5.2.1</t>
  </si>
  <si>
    <t>5.3.1</t>
  </si>
  <si>
    <t>revestimentos</t>
  </si>
  <si>
    <t>6.1.1</t>
  </si>
  <si>
    <t>perimetro das paredes x altura</t>
  </si>
  <si>
    <t>6.2.1</t>
  </si>
  <si>
    <t>6.3.1</t>
  </si>
  <si>
    <t>6.4.1</t>
  </si>
  <si>
    <t>perimetro interno dos banheiros</t>
  </si>
  <si>
    <t>6.4.2</t>
  </si>
  <si>
    <t>- área das portas</t>
  </si>
  <si>
    <t>6.5.1</t>
  </si>
  <si>
    <t>salão</t>
  </si>
  <si>
    <t>6.5.2</t>
  </si>
  <si>
    <t>banheiros</t>
  </si>
  <si>
    <t>6.5.3</t>
  </si>
  <si>
    <t>palco</t>
  </si>
  <si>
    <t>6.6.1</t>
  </si>
  <si>
    <t>área de forro (aplicado a 2,7 m de altura)</t>
  </si>
  <si>
    <t>6.7.1</t>
  </si>
  <si>
    <t>porta entrada e saida lateral</t>
  </si>
  <si>
    <t>6.7.2</t>
  </si>
  <si>
    <t>portas banheiros</t>
  </si>
  <si>
    <t>00191/orse</t>
  </si>
  <si>
    <t>6.8.1</t>
  </si>
  <si>
    <t>divisórias banheiros</t>
  </si>
  <si>
    <t>pisos e calçadas</t>
  </si>
  <si>
    <t>7.1.1</t>
  </si>
  <si>
    <t>contrapiso interno</t>
  </si>
  <si>
    <t>7.1.2</t>
  </si>
  <si>
    <t>calçada externa</t>
  </si>
  <si>
    <t>esquadrias</t>
  </si>
  <si>
    <t>8.1.1</t>
  </si>
  <si>
    <t>c1968</t>
  </si>
  <si>
    <t>8.2.1</t>
  </si>
  <si>
    <t>portão de entrada</t>
  </si>
  <si>
    <t>8.2.2</t>
  </si>
  <si>
    <t>portão de saida</t>
  </si>
  <si>
    <t>11956/orse</t>
  </si>
  <si>
    <t>8.3.1</t>
  </si>
  <si>
    <t>porta das divisórias banheiros</t>
  </si>
  <si>
    <t>01870/orse</t>
  </si>
  <si>
    <t>8.4.1</t>
  </si>
  <si>
    <t>basculantes banheiro</t>
  </si>
  <si>
    <t>8.4.2</t>
  </si>
  <si>
    <t>basculantes salão</t>
  </si>
  <si>
    <t>VIDRO LISO FUME, ESPESSURA 4MM</t>
  </si>
  <si>
    <t>M2</t>
  </si>
  <si>
    <t>8.5.1</t>
  </si>
  <si>
    <t>vidros para os basculantes</t>
  </si>
  <si>
    <t>01850/orse</t>
  </si>
  <si>
    <t>8.6.1</t>
  </si>
  <si>
    <t>grades para os basculantes</t>
  </si>
  <si>
    <t>09718/orse</t>
  </si>
  <si>
    <t>8.7.1</t>
  </si>
  <si>
    <t>pintura</t>
  </si>
  <si>
    <t>9.1.1</t>
  </si>
  <si>
    <t>área de reboco</t>
  </si>
  <si>
    <t>9.2.1</t>
  </si>
  <si>
    <t>02306/orse</t>
  </si>
  <si>
    <t>9.3.1</t>
  </si>
  <si>
    <t>pintura dos basculantes</t>
  </si>
  <si>
    <t>9.3.2</t>
  </si>
  <si>
    <t>pintura das portas de ferro</t>
  </si>
  <si>
    <t>instalações hidraulicas</t>
  </si>
  <si>
    <t>10.1.1</t>
  </si>
  <si>
    <t>05047/orse</t>
  </si>
  <si>
    <t>10.2.1</t>
  </si>
  <si>
    <t>10.3.1</t>
  </si>
  <si>
    <t>instalações sanitarias</t>
  </si>
  <si>
    <t>01679/orse</t>
  </si>
  <si>
    <t>11.1.1</t>
  </si>
  <si>
    <t>01683/orse</t>
  </si>
  <si>
    <t>11.2.1</t>
  </si>
  <si>
    <t>01702/orse</t>
  </si>
  <si>
    <t>11.3.1</t>
  </si>
  <si>
    <t>04883/orse</t>
  </si>
  <si>
    <t>11.4.1</t>
  </si>
  <si>
    <t>11.5.1</t>
  </si>
  <si>
    <t>ligação dos novos banheiro com a fossa nova</t>
  </si>
  <si>
    <t>c4162</t>
  </si>
  <si>
    <t>11.6.1</t>
  </si>
  <si>
    <t>louças e metais</t>
  </si>
  <si>
    <t>12.1.1</t>
  </si>
  <si>
    <t>12292/orse</t>
  </si>
  <si>
    <t>12.2.1</t>
  </si>
  <si>
    <t>02022/orse</t>
  </si>
  <si>
    <t>12.3.1</t>
  </si>
  <si>
    <t>instalações eletricas</t>
  </si>
  <si>
    <t>12223/orse</t>
  </si>
  <si>
    <t>13.1.1</t>
  </si>
  <si>
    <t>13.2.1</t>
  </si>
  <si>
    <t>disjuntor de entrada de 30 A</t>
  </si>
  <si>
    <t>13.3.1</t>
  </si>
  <si>
    <t>07871/orse</t>
  </si>
  <si>
    <t>13.4.1</t>
  </si>
  <si>
    <t>08894/orse</t>
  </si>
  <si>
    <t>13.5.1</t>
  </si>
  <si>
    <t>13.6.1</t>
  </si>
  <si>
    <t>13.7.1</t>
  </si>
  <si>
    <t>13.8.1</t>
  </si>
  <si>
    <t>13.9.1</t>
  </si>
  <si>
    <t>12562/orse</t>
  </si>
  <si>
    <t>13.10.1</t>
  </si>
  <si>
    <t>13.11.1</t>
  </si>
  <si>
    <t>13.12.1</t>
  </si>
  <si>
    <t>13.13.1</t>
  </si>
  <si>
    <t>03397/orse</t>
  </si>
  <si>
    <t>13.14.1</t>
  </si>
  <si>
    <t>adaptação predio existente</t>
  </si>
  <si>
    <t>14.1.1</t>
  </si>
  <si>
    <t>abertura entre duas salas</t>
  </si>
  <si>
    <t>14.1.2</t>
  </si>
  <si>
    <t>criação de sala de reunião</t>
  </si>
  <si>
    <t>14.1.3</t>
  </si>
  <si>
    <t>demolição de  paredes divisorias (salas com meia parede)</t>
  </si>
  <si>
    <t>14.2.1</t>
  </si>
  <si>
    <t>serviços finais</t>
  </si>
  <si>
    <t>10033/orse</t>
  </si>
  <si>
    <t>15.1.1</t>
  </si>
  <si>
    <t>02450/orse</t>
  </si>
  <si>
    <t>15.2.1</t>
  </si>
  <si>
    <t>PLANILHA DE COMPOSIÇÕES ANALÍTICAS</t>
  </si>
  <si>
    <t>CLASSE/TIPO</t>
  </si>
  <si>
    <t>COEFICIENTE</t>
  </si>
  <si>
    <t>PREÇO UNIT</t>
  </si>
  <si>
    <t>ADM. LOC.</t>
  </si>
  <si>
    <t>ADMINISTRAÇÃO LOCAL</t>
  </si>
  <si>
    <t>UND</t>
  </si>
  <si>
    <t>Composição do usuário.</t>
  </si>
  <si>
    <t>COMPOSICAO</t>
  </si>
  <si>
    <t>CUSTO DIRETO TOTAL</t>
  </si>
  <si>
    <t>TOTAL - ADM. LOC.</t>
  </si>
  <si>
    <t xml:space="preserve">PLACA DE OBRA EM CHAPA DE AÇO GALVANIZADO </t>
  </si>
  <si>
    <t>INSUMO</t>
  </si>
  <si>
    <t>TOTAL - placa.1</t>
  </si>
  <si>
    <t>06096/ORSE</t>
  </si>
  <si>
    <t>00980/ORSE</t>
  </si>
  <si>
    <t>02260/ORSE</t>
  </si>
  <si>
    <t>02360/ORSE</t>
  </si>
  <si>
    <t>05161/ORSE</t>
  </si>
  <si>
    <t>05240/ORSE</t>
  </si>
  <si>
    <t>06313/ORSE</t>
  </si>
  <si>
    <t>00026/ORSE</t>
  </si>
  <si>
    <t>00076/ORSE</t>
  </si>
  <si>
    <t>02497/ORSE</t>
  </si>
  <si>
    <t>06083/ORSE</t>
  </si>
  <si>
    <t>10549/ORSE</t>
  </si>
  <si>
    <t>10554/ORSE</t>
  </si>
  <si>
    <t>TOTAL - 06096/ORSE</t>
  </si>
  <si>
    <t>11122/ORSE</t>
  </si>
  <si>
    <t>00337/ORSE</t>
  </si>
  <si>
    <t>00353/ORSE</t>
  </si>
  <si>
    <t>00362/ORSE</t>
  </si>
  <si>
    <t>00371/ORSE</t>
  </si>
  <si>
    <t>00681/ORSE</t>
  </si>
  <si>
    <t>02892/ORSE</t>
  </si>
  <si>
    <t>04005/ORSE</t>
  </si>
  <si>
    <t>04429/ORSE</t>
  </si>
  <si>
    <t>07925/ORSE</t>
  </si>
  <si>
    <t>09163/ORSE</t>
  </si>
  <si>
    <t>09379/ORSE</t>
  </si>
  <si>
    <t>10315/ORSE</t>
  </si>
  <si>
    <t>12370/ORSE</t>
  </si>
  <si>
    <t>TOTAL - 11122/ORSE</t>
  </si>
  <si>
    <t>URBA</t>
  </si>
  <si>
    <t>TOTAL - 98524</t>
  </si>
  <si>
    <t>TOTAL - 98530</t>
  </si>
  <si>
    <t>C0143</t>
  </si>
  <si>
    <t>I0412</t>
  </si>
  <si>
    <t>TOTAL - C0143</t>
  </si>
  <si>
    <t>PROJ.HIDRO</t>
  </si>
  <si>
    <t>PROJETO HIDRAÚLICO - ÁGUA FRIA</t>
  </si>
  <si>
    <t>07344/ORSE</t>
  </si>
  <si>
    <t>TOTAL - PROJ.HIDRO</t>
  </si>
  <si>
    <t>PROJ.SANIT</t>
  </si>
  <si>
    <t>PROJETO DE REDE DE ESGOTO SANITÁRIO COM TRATAMENTO SIMPLES (FOSSA E FILTRO, SUMIDOURO)</t>
  </si>
  <si>
    <t>07340/ORSE</t>
  </si>
  <si>
    <t>TOTAL - PROJ.SANIT</t>
  </si>
  <si>
    <t>MOVT</t>
  </si>
  <si>
    <t>TOTAL - 96526</t>
  </si>
  <si>
    <t>C0054</t>
  </si>
  <si>
    <t>I2391</t>
  </si>
  <si>
    <t>I2543</t>
  </si>
  <si>
    <t>I0109</t>
  </si>
  <si>
    <t>I0805</t>
  </si>
  <si>
    <t>I1600</t>
  </si>
  <si>
    <t>TOTAL - C0054</t>
  </si>
  <si>
    <t>PARE</t>
  </si>
  <si>
    <t>TOTAL - 87525</t>
  </si>
  <si>
    <t>TOTAL - 94319</t>
  </si>
  <si>
    <t>FUES</t>
  </si>
  <si>
    <t>TOTAL - 95952</t>
  </si>
  <si>
    <t>IMPE</t>
  </si>
  <si>
    <t>TOTAL - 98557</t>
  </si>
  <si>
    <t>COBE</t>
  </si>
  <si>
    <t>TOTAL - 92550</t>
  </si>
  <si>
    <t>TOTAL - 92541</t>
  </si>
  <si>
    <t>TOTAL - 94204</t>
  </si>
  <si>
    <t>TOTAL - 87523</t>
  </si>
  <si>
    <t>REVE</t>
  </si>
  <si>
    <t>TOTAL - 87905</t>
  </si>
  <si>
    <t>TOTAL - 87530</t>
  </si>
  <si>
    <t>TOTAL - 99198</t>
  </si>
  <si>
    <t>PISO</t>
  </si>
  <si>
    <t>TOTAL - 89171</t>
  </si>
  <si>
    <t>TOTAL - 96116</t>
  </si>
  <si>
    <t>TOTAL - 98689</t>
  </si>
  <si>
    <t>00191/ORSE</t>
  </si>
  <si>
    <t>02511/ORSE</t>
  </si>
  <si>
    <t>12984/ORSE</t>
  </si>
  <si>
    <t>10550/ORSE</t>
  </si>
  <si>
    <t>TOTAL - 00191/ORSE</t>
  </si>
  <si>
    <t>TOTAL - 94992</t>
  </si>
  <si>
    <t>ESQV</t>
  </si>
  <si>
    <t>TOTAL - 91341</t>
  </si>
  <si>
    <t>C1968</t>
  </si>
  <si>
    <t>I1515</t>
  </si>
  <si>
    <t>I1623</t>
  </si>
  <si>
    <t>I2259</t>
  </si>
  <si>
    <t>TOTAL - C1968</t>
  </si>
  <si>
    <t>11956/ORSE</t>
  </si>
  <si>
    <t>12807/ORSE</t>
  </si>
  <si>
    <t>01903/ORSE</t>
  </si>
  <si>
    <t>TOTAL - 11956/ORSE</t>
  </si>
  <si>
    <t>01870/ORSE</t>
  </si>
  <si>
    <t>01139/ORSE</t>
  </si>
  <si>
    <t>TOTAL - 01870/ORSE</t>
  </si>
  <si>
    <t>01850/ORSE</t>
  </si>
  <si>
    <t>01056/ORSE</t>
  </si>
  <si>
    <t>TOTAL - 01850/ORSE</t>
  </si>
  <si>
    <t>09718/ORSE</t>
  </si>
  <si>
    <t>10088/ORSE</t>
  </si>
  <si>
    <t>TOTAL - 09718/ORSE</t>
  </si>
  <si>
    <t>PINT</t>
  </si>
  <si>
    <t>TOTAL - 88415</t>
  </si>
  <si>
    <t>TOTAL - 88489</t>
  </si>
  <si>
    <t>02306/ORSE</t>
  </si>
  <si>
    <t>02226/ORSE</t>
  </si>
  <si>
    <t>10553/ORSE</t>
  </si>
  <si>
    <t>TOTAL - 02306/ORSE</t>
  </si>
  <si>
    <t>INHI</t>
  </si>
  <si>
    <t>TOTAL - 89957</t>
  </si>
  <si>
    <t>05047/ORSE</t>
  </si>
  <si>
    <t>00981/ORSE</t>
  </si>
  <si>
    <t>04951/ORSE</t>
  </si>
  <si>
    <t>TOTAL - 05047/ORSE</t>
  </si>
  <si>
    <t>TOTAL - 91785</t>
  </si>
  <si>
    <t>01679/ORSE</t>
  </si>
  <si>
    <t>00138/ORSE</t>
  </si>
  <si>
    <t>01703/ORSE</t>
  </si>
  <si>
    <t>02036/ORSE</t>
  </si>
  <si>
    <t>TOTAL - 01679/ORSE</t>
  </si>
  <si>
    <t>01683/ORSE</t>
  </si>
  <si>
    <t>TOTAL - 01683/ORSE</t>
  </si>
  <si>
    <t>01702/ORSE</t>
  </si>
  <si>
    <t>01907/ORSE</t>
  </si>
  <si>
    <t>TOTAL - 01702/ORSE</t>
  </si>
  <si>
    <t>04883/ORSE</t>
  </si>
  <si>
    <t>00072/ORSE</t>
  </si>
  <si>
    <t>00080/ORSE</t>
  </si>
  <si>
    <t>00095/ORSE</t>
  </si>
  <si>
    <t>00126/ORSE</t>
  </si>
  <si>
    <t>00140/ORSE</t>
  </si>
  <si>
    <t>00155/ORSE</t>
  </si>
  <si>
    <t>01908/ORSE</t>
  </si>
  <si>
    <t>03310/ORSE</t>
  </si>
  <si>
    <t>TOTAL - 04883/ORSE</t>
  </si>
  <si>
    <t>TOTAL - 91795</t>
  </si>
  <si>
    <t>C4162</t>
  </si>
  <si>
    <t>I7964</t>
  </si>
  <si>
    <t>I7965</t>
  </si>
  <si>
    <t>I7966</t>
  </si>
  <si>
    <t>C2593</t>
  </si>
  <si>
    <t>C2781</t>
  </si>
  <si>
    <t>C2860</t>
  </si>
  <si>
    <t>C2862</t>
  </si>
  <si>
    <t>C2921</t>
  </si>
  <si>
    <t>TOTAL - C4162</t>
  </si>
  <si>
    <t>TOTAL - 86888</t>
  </si>
  <si>
    <t>12292/ORSE</t>
  </si>
  <si>
    <t>00717/ORSE</t>
  </si>
  <si>
    <t>02257/ORSE</t>
  </si>
  <si>
    <t>02384/ORSE</t>
  </si>
  <si>
    <t>02585/ORSE</t>
  </si>
  <si>
    <t>07479/ORSE</t>
  </si>
  <si>
    <t>09964/ORSE</t>
  </si>
  <si>
    <t>12051/ORSE</t>
  </si>
  <si>
    <t>12056/ORSE</t>
  </si>
  <si>
    <t>12057/ORSE</t>
  </si>
  <si>
    <t>TOTAL - 12292/ORSE</t>
  </si>
  <si>
    <t>02022/ORSE</t>
  </si>
  <si>
    <t>TOTAL - 02022/ORSE</t>
  </si>
  <si>
    <t>12223/ORSE</t>
  </si>
  <si>
    <t>02527/ORSE</t>
  </si>
  <si>
    <t>10552/ORSE</t>
  </si>
  <si>
    <t>TOTAL - 12223/ORSE</t>
  </si>
  <si>
    <t>INEL</t>
  </si>
  <si>
    <t>TOTAL - 101890</t>
  </si>
  <si>
    <t>TOTAL - 93654</t>
  </si>
  <si>
    <t>07871/ORSE</t>
  </si>
  <si>
    <t>07660/ORSE</t>
  </si>
  <si>
    <t>TOTAL - 07871/ORSE</t>
  </si>
  <si>
    <t>08894/ORSE</t>
  </si>
  <si>
    <t>09162/ORSE</t>
  </si>
  <si>
    <t>TOTAL - 08894/ORSE</t>
  </si>
  <si>
    <t>TOTAL - 91931</t>
  </si>
  <si>
    <t>TOTAL - 91928</t>
  </si>
  <si>
    <t>TOTAL - 91927</t>
  </si>
  <si>
    <t>TOTAL - 91834</t>
  </si>
  <si>
    <t>12562/ORSE</t>
  </si>
  <si>
    <t>01343/ORSE</t>
  </si>
  <si>
    <t>07882/ORSE</t>
  </si>
  <si>
    <t>TOTAL - 12562/ORSE</t>
  </si>
  <si>
    <t>TOTAL - 91953</t>
  </si>
  <si>
    <t>TOTAL - 91969</t>
  </si>
  <si>
    <t>TOTAL - 92008</t>
  </si>
  <si>
    <t>03397/ORSE</t>
  </si>
  <si>
    <t>TOTAL - 03397/ORSE</t>
  </si>
  <si>
    <t>SERP</t>
  </si>
  <si>
    <t>TOTAL - 97622</t>
  </si>
  <si>
    <t>TOTAL - 89048</t>
  </si>
  <si>
    <t>10033/ORSE</t>
  </si>
  <si>
    <t>07962/ORSE</t>
  </si>
  <si>
    <t>TOTAL - 10033/ORSE</t>
  </si>
  <si>
    <t>02450/ORSE</t>
  </si>
  <si>
    <t>01997/ORSE</t>
  </si>
  <si>
    <t>02414/ORSE</t>
  </si>
  <si>
    <t>TOTAL - 02450/ORSE</t>
  </si>
  <si>
    <t>PLANILHA DE COMPOSIÇÕES ANALÍTICAS AUXILIARES - NÍVEL 1</t>
  </si>
  <si>
    <t>SEDI</t>
  </si>
  <si>
    <t>TOTAL - 90777</t>
  </si>
  <si>
    <t>TOTAL - 90776</t>
  </si>
  <si>
    <t>TOTAL - 90780</t>
  </si>
  <si>
    <t>TOTAL - 94962</t>
  </si>
  <si>
    <t>TOTAL - 88262</t>
  </si>
  <si>
    <t>TOTAL - 88316</t>
  </si>
  <si>
    <t>TOTAL - 00026/ORSE</t>
  </si>
  <si>
    <t>TOTAL - 00076/ORSE</t>
  </si>
  <si>
    <t>TOTAL - 02497/ORSE</t>
  </si>
  <si>
    <t>01209/ORSE</t>
  </si>
  <si>
    <t>01690/ORSE</t>
  </si>
  <si>
    <t>05207/ORSE</t>
  </si>
  <si>
    <t>00127/ORSE</t>
  </si>
  <si>
    <t>00141/ORSE</t>
  </si>
  <si>
    <t>10889/ORSE</t>
  </si>
  <si>
    <t>TOTAL - 06083/ORSE</t>
  </si>
  <si>
    <t>00158/ORSE</t>
  </si>
  <si>
    <t>00941/ORSE</t>
  </si>
  <si>
    <t>01651/ORSE</t>
  </si>
  <si>
    <t>02378/ORSE</t>
  </si>
  <si>
    <t>04728/ORSE</t>
  </si>
  <si>
    <t>04729/ORSE</t>
  </si>
  <si>
    <t>10362/ORSE</t>
  </si>
  <si>
    <t>10492/ORSE</t>
  </si>
  <si>
    <t>10517/ORSE</t>
  </si>
  <si>
    <t>10596/ORSE</t>
  </si>
  <si>
    <t>10599/ORSE</t>
  </si>
  <si>
    <t>10761/ORSE</t>
  </si>
  <si>
    <t>10788/ORSE</t>
  </si>
  <si>
    <t>TOTAL - 10549/ORSE</t>
  </si>
  <si>
    <t>10592/ORSE</t>
  </si>
  <si>
    <t>10593/ORSE</t>
  </si>
  <si>
    <t>11253/ORSE</t>
  </si>
  <si>
    <t>11254/ORSE</t>
  </si>
  <si>
    <t>11255/ORSE</t>
  </si>
  <si>
    <t>11256/ORSE</t>
  </si>
  <si>
    <t>11257/ORSE</t>
  </si>
  <si>
    <t>TOTAL - 10554/ORSE</t>
  </si>
  <si>
    <t>00207/ORSE</t>
  </si>
  <si>
    <t>00435/ORSE</t>
  </si>
  <si>
    <t>00663/ORSE</t>
  </si>
  <si>
    <t>00866/ORSE</t>
  </si>
  <si>
    <t>00965/ORSE</t>
  </si>
  <si>
    <t>03490/ORSE</t>
  </si>
  <si>
    <t>TOTAL - 00337/ORSE</t>
  </si>
  <si>
    <t>TOTAL - 00353/ORSE</t>
  </si>
  <si>
    <t>TOTAL - 00362/ORSE</t>
  </si>
  <si>
    <t>TOTAL - 00371/ORSE</t>
  </si>
  <si>
    <t>00664/ORSE</t>
  </si>
  <si>
    <t>TOTAL - 00681/ORSE</t>
  </si>
  <si>
    <t>TOTAL - 02892/ORSE</t>
  </si>
  <si>
    <t>03818/ORSE</t>
  </si>
  <si>
    <t>TOTAL - 04005/ORSE</t>
  </si>
  <si>
    <t>00085/ORSE</t>
  </si>
  <si>
    <t>03318/ORSE</t>
  </si>
  <si>
    <t>TOTAL - 04429/ORSE</t>
  </si>
  <si>
    <t>07880/ORSE</t>
  </si>
  <si>
    <t>TOTAL - 07925/ORSE</t>
  </si>
  <si>
    <t>06616/ORSE</t>
  </si>
  <si>
    <t>TOTAL - 09163/ORSE</t>
  </si>
  <si>
    <t>01096/ORSE</t>
  </si>
  <si>
    <t>TOTAL - 09379/ORSE</t>
  </si>
  <si>
    <t>03680/ORSE</t>
  </si>
  <si>
    <t>TOTAL - 10315/ORSE</t>
  </si>
  <si>
    <t>07406/ORSE</t>
  </si>
  <si>
    <t>TOTAL - 12370/ORSE</t>
  </si>
  <si>
    <t>TOTAL - 88441</t>
  </si>
  <si>
    <t>TOTAL - 88309</t>
  </si>
  <si>
    <t>TOTAL - 87292</t>
  </si>
  <si>
    <t>CHOR</t>
  </si>
  <si>
    <t>TOTAL - 5901</t>
  </si>
  <si>
    <t>TOTAL - 5903</t>
  </si>
  <si>
    <t>TOTAL - 91533</t>
  </si>
  <si>
    <t>TOTAL - 91534</t>
  </si>
  <si>
    <t>TOTAL - 92415</t>
  </si>
  <si>
    <t>TOTAL - 92427</t>
  </si>
  <si>
    <t>TOTAL - 92451</t>
  </si>
  <si>
    <t>TOTAL - 92463</t>
  </si>
  <si>
    <t>TOTAL - 92510</t>
  </si>
  <si>
    <t>TOTAL - 92522</t>
  </si>
  <si>
    <t>TOTAL - 92759</t>
  </si>
  <si>
    <t>TOTAL - 92760</t>
  </si>
  <si>
    <t>TOTAL - 92761</t>
  </si>
  <si>
    <t>TOTAL - 92762</t>
  </si>
  <si>
    <t>TOTAL - 92763</t>
  </si>
  <si>
    <t>TOTAL - 92764</t>
  </si>
  <si>
    <t>TOTAL - 92765</t>
  </si>
  <si>
    <t>TOTAL - 92766</t>
  </si>
  <si>
    <t>TOTAL - 92768</t>
  </si>
  <si>
    <t>TOTAL - 92769</t>
  </si>
  <si>
    <t>TOTAL - 92770</t>
  </si>
  <si>
    <t>TOTAL - 92874</t>
  </si>
  <si>
    <t>TOTAL - 95944</t>
  </si>
  <si>
    <t>TOTAL - 95945</t>
  </si>
  <si>
    <t>TOTAL - 96533</t>
  </si>
  <si>
    <t>TOTAL - 96543</t>
  </si>
  <si>
    <t>TOTAL - 96544</t>
  </si>
  <si>
    <t>TOTAL - 96546</t>
  </si>
  <si>
    <t>TOTAL - 101982</t>
  </si>
  <si>
    <t>TOTAL - 88243</t>
  </si>
  <si>
    <t>TOTAL - 88270</t>
  </si>
  <si>
    <t>TOTAL - 88239</t>
  </si>
  <si>
    <t>TOTAL - 92261</t>
  </si>
  <si>
    <t>TOTAL - 93281</t>
  </si>
  <si>
    <t>TOTAL - 93282</t>
  </si>
  <si>
    <t>TOTAL - 88323</t>
  </si>
  <si>
    <t>TOTAL - 87313</t>
  </si>
  <si>
    <t>TOTAL - 87369</t>
  </si>
  <si>
    <t>TOTAL - 88256</t>
  </si>
  <si>
    <t>TOTAL - 87246</t>
  </si>
  <si>
    <t>TOTAL - 87247</t>
  </si>
  <si>
    <t>TOTAL - 87248</t>
  </si>
  <si>
    <t>TOTAL - 88278</t>
  </si>
  <si>
    <t>TOTAL - 88274</t>
  </si>
  <si>
    <t>04174/ORSE</t>
  </si>
  <si>
    <t>04722/ORSE</t>
  </si>
  <si>
    <t>10282/ORSE</t>
  </si>
  <si>
    <t>10789/ORSE</t>
  </si>
  <si>
    <t>10790/ORSE</t>
  </si>
  <si>
    <t>11243/ORSE</t>
  </si>
  <si>
    <t>11245/ORSE</t>
  </si>
  <si>
    <t>11246/ORSE</t>
  </si>
  <si>
    <t>11247/ORSE</t>
  </si>
  <si>
    <t>11264/ORSE</t>
  </si>
  <si>
    <t>11265/ORSE</t>
  </si>
  <si>
    <t>TOTAL - 10550/ORSE</t>
  </si>
  <si>
    <t>TOTAL - 94964</t>
  </si>
  <si>
    <t>TOTAL - 01903/ORSE</t>
  </si>
  <si>
    <t>TOTAL - 88310</t>
  </si>
  <si>
    <t>04725/ORSE</t>
  </si>
  <si>
    <t>10583/ORSE</t>
  </si>
  <si>
    <t>11250/ORSE</t>
  </si>
  <si>
    <t>11251/ORSE</t>
  </si>
  <si>
    <t>11252/ORSE</t>
  </si>
  <si>
    <t>TOTAL - 10553/ORSE</t>
  </si>
  <si>
    <t>TOTAL - 89356</t>
  </si>
  <si>
    <t>TOTAL - 89362</t>
  </si>
  <si>
    <t>TOTAL - 89366</t>
  </si>
  <si>
    <t>TOTAL - 89395</t>
  </si>
  <si>
    <t>TOTAL - 90443</t>
  </si>
  <si>
    <t>TOTAL - 90466</t>
  </si>
  <si>
    <t>TOTAL - 89378</t>
  </si>
  <si>
    <t>TOTAL - 89383</t>
  </si>
  <si>
    <t>TOTAL - 89396</t>
  </si>
  <si>
    <t>TOTAL - 89400</t>
  </si>
  <si>
    <t>TOTAL - 89402</t>
  </si>
  <si>
    <t>TOTAL - 89408</t>
  </si>
  <si>
    <t>TOTAL - 89424</t>
  </si>
  <si>
    <t>TOTAL - 89440</t>
  </si>
  <si>
    <t>TOTAL - 89445</t>
  </si>
  <si>
    <t>TOTAL - 89446</t>
  </si>
  <si>
    <t>TOTAL - 89481</t>
  </si>
  <si>
    <t>TOTAL - 89528</t>
  </si>
  <si>
    <t>TOTAL - 89532</t>
  </si>
  <si>
    <t>TOTAL - 89622</t>
  </si>
  <si>
    <t>TOTAL - 89627</t>
  </si>
  <si>
    <t>TOTAL - 90436</t>
  </si>
  <si>
    <t>TOTAL - 90453</t>
  </si>
  <si>
    <t>TOTAL - 91185</t>
  </si>
  <si>
    <t>TOTAL - 91190</t>
  </si>
  <si>
    <t>TOTAL - 00072/ORSE</t>
  </si>
  <si>
    <t>00630/ORSE</t>
  </si>
  <si>
    <t>01569/ORSE</t>
  </si>
  <si>
    <t>10551/ORSE</t>
  </si>
  <si>
    <t>TOTAL - 00080/ORSE</t>
  </si>
  <si>
    <t>00124/ORSE</t>
  </si>
  <si>
    <t>07692/ORSE</t>
  </si>
  <si>
    <t>TOTAL - 00095/ORSE</t>
  </si>
  <si>
    <t>00125/ORSE</t>
  </si>
  <si>
    <t>TOTAL - 00126/ORSE</t>
  </si>
  <si>
    <t>00081/ORSE</t>
  </si>
  <si>
    <t>10555/ORSE</t>
  </si>
  <si>
    <t>TOTAL - 00140/ORSE</t>
  </si>
  <si>
    <t>02212/ORSE</t>
  </si>
  <si>
    <t>03308/ORSE</t>
  </si>
  <si>
    <t>TOTAL - 00155/ORSE</t>
  </si>
  <si>
    <t>TOTAL - 01908/ORSE</t>
  </si>
  <si>
    <t>TOTAL - 03310/ORSE</t>
  </si>
  <si>
    <t>TOTAL - 89714</t>
  </si>
  <si>
    <t>TOTAL - 89746</t>
  </si>
  <si>
    <t>TOTAL - 89748</t>
  </si>
  <si>
    <t>TOTAL - 89778</t>
  </si>
  <si>
    <t>TOTAL - 89796</t>
  </si>
  <si>
    <t>TOTAL - 89797</t>
  </si>
  <si>
    <t>TOTAL - 89800</t>
  </si>
  <si>
    <t>TOTAL - 89810</t>
  </si>
  <si>
    <t>TOTAL - 89821</t>
  </si>
  <si>
    <t>TOTAL - 89833</t>
  </si>
  <si>
    <t>TOTAL - 89834</t>
  </si>
  <si>
    <t>TOTAL - 89848</t>
  </si>
  <si>
    <t>TOTAL - 89851</t>
  </si>
  <si>
    <t>TOTAL - 89856</t>
  </si>
  <si>
    <t>TOTAL - 89861</t>
  </si>
  <si>
    <t>TOTAL - 90438</t>
  </si>
  <si>
    <t>TOTAL - 90455</t>
  </si>
  <si>
    <t>TOTAL - 91187</t>
  </si>
  <si>
    <t>TOTAL - 91192</t>
  </si>
  <si>
    <t>I0043</t>
  </si>
  <si>
    <t>I2320</t>
  </si>
  <si>
    <t>I0026</t>
  </si>
  <si>
    <t>I1888</t>
  </si>
  <si>
    <t>I2193</t>
  </si>
  <si>
    <t>TOTAL - C2593</t>
  </si>
  <si>
    <t>TOTAL - C2781</t>
  </si>
  <si>
    <t>I0108</t>
  </si>
  <si>
    <t>TOTAL - C2860</t>
  </si>
  <si>
    <t>I0280</t>
  </si>
  <si>
    <t>TOTAL - C2862</t>
  </si>
  <si>
    <t>TOTAL - C2921</t>
  </si>
  <si>
    <t>TOTAL - 88267</t>
  </si>
  <si>
    <t>10579/ORSE</t>
  </si>
  <si>
    <t>11240/ORSE</t>
  </si>
  <si>
    <t>11241/ORSE</t>
  </si>
  <si>
    <t>11242/ORSE</t>
  </si>
  <si>
    <t>TOTAL - 10552/ORSE</t>
  </si>
  <si>
    <t>TOTAL - 87296</t>
  </si>
  <si>
    <t>TOTAL - 88247</t>
  </si>
  <si>
    <t>TOTAL - 88264</t>
  </si>
  <si>
    <t>TOTAL - 91170</t>
  </si>
  <si>
    <t>02052/ORSE</t>
  </si>
  <si>
    <t>TOTAL - 07882/ORSE</t>
  </si>
  <si>
    <t>TOTAL - 91946</t>
  </si>
  <si>
    <t>TOTAL - 91952</t>
  </si>
  <si>
    <t>TOTAL - 91968</t>
  </si>
  <si>
    <t>TOTAL - 92006</t>
  </si>
  <si>
    <t>TOTAL - 87527</t>
  </si>
  <si>
    <t>TOTAL - 87529</t>
  </si>
  <si>
    <t>TOTAL - 87531</t>
  </si>
  <si>
    <t>PLANILHA DE COMPOSIÇÕES ANALÍTICAS AUXILIARES - NÍVEL 2</t>
  </si>
  <si>
    <t>TOTAL - 95402</t>
  </si>
  <si>
    <t>TOTAL - 95401</t>
  </si>
  <si>
    <t>TOTAL - 95405</t>
  </si>
  <si>
    <t>TOTAL - 88377</t>
  </si>
  <si>
    <t>TOTAL - 88830</t>
  </si>
  <si>
    <t>TOTAL - 88831</t>
  </si>
  <si>
    <t>TOTAL - 95330</t>
  </si>
  <si>
    <t>TOTAL - 95378</t>
  </si>
  <si>
    <t>00128/ORSE</t>
  </si>
  <si>
    <t>TOTAL - 00127/ORSE</t>
  </si>
  <si>
    <t>00082/ORSE</t>
  </si>
  <si>
    <t>TOTAL - 00141/ORSE</t>
  </si>
  <si>
    <t>TOTAL - 10889/ORSE</t>
  </si>
  <si>
    <t>TOTAL - 00085/ORSE</t>
  </si>
  <si>
    <t>01905/ORSE</t>
  </si>
  <si>
    <t>TOTAL - 03318/ORSE</t>
  </si>
  <si>
    <t>TOTAL - 95390</t>
  </si>
  <si>
    <t>TOTAL - 95371</t>
  </si>
  <si>
    <t>TOTAL - 5763</t>
  </si>
  <si>
    <t>TOTAL - 53831</t>
  </si>
  <si>
    <t>TOTAL - 88282</t>
  </si>
  <si>
    <t>TOTAL - 91396</t>
  </si>
  <si>
    <t>TOTAL - 91397</t>
  </si>
  <si>
    <t>TOTAL - 91398</t>
  </si>
  <si>
    <t>TOTAL - 88297</t>
  </si>
  <si>
    <t>TOTAL - 91529</t>
  </si>
  <si>
    <t>TOTAL - 91530</t>
  </si>
  <si>
    <t>TOTAL - 91531</t>
  </si>
  <si>
    <t>TOTAL - 91532</t>
  </si>
  <si>
    <t>TOTAL - 92263</t>
  </si>
  <si>
    <t>TOTAL - 92265</t>
  </si>
  <si>
    <t>TOTAL - 92272</t>
  </si>
  <si>
    <t>TOTAL - 92267</t>
  </si>
  <si>
    <t>TOTAL - 88238</t>
  </si>
  <si>
    <t>TOTAL - 88245</t>
  </si>
  <si>
    <t>TOTAL - 92791</t>
  </si>
  <si>
    <t>TOTAL - 92792</t>
  </si>
  <si>
    <t>TOTAL - 92793</t>
  </si>
  <si>
    <t>TOTAL - 92794</t>
  </si>
  <si>
    <t>TOTAL - 92795</t>
  </si>
  <si>
    <t>TOTAL - 92796</t>
  </si>
  <si>
    <t>TOTAL - 92797</t>
  </si>
  <si>
    <t>TOTAL - 92798</t>
  </si>
  <si>
    <t>TOTAL - 92800</t>
  </si>
  <si>
    <t>TOTAL - 92801</t>
  </si>
  <si>
    <t>TOTAL - 92802</t>
  </si>
  <si>
    <t>TOTAL - 90586</t>
  </si>
  <si>
    <t>TOTAL - 90587</t>
  </si>
  <si>
    <t>TOTAL - 91692</t>
  </si>
  <si>
    <t>TOTAL - 91693</t>
  </si>
  <si>
    <t>TOTAL - 101969</t>
  </si>
  <si>
    <t>TOTAL - 95313</t>
  </si>
  <si>
    <t>TOTAL - 95338</t>
  </si>
  <si>
    <t>TOTAL - 95309</t>
  </si>
  <si>
    <t>TOTAL - 93287</t>
  </si>
  <si>
    <t>TOTAL - 93288</t>
  </si>
  <si>
    <t>TOTAL - 88295</t>
  </si>
  <si>
    <t>TOTAL - 93277</t>
  </si>
  <si>
    <t>TOTAL - 93278</t>
  </si>
  <si>
    <t>TOTAL - 93279</t>
  </si>
  <si>
    <t>TOTAL - 93280</t>
  </si>
  <si>
    <t>TOTAL - 95385</t>
  </si>
  <si>
    <t>TOTAL - 95324</t>
  </si>
  <si>
    <t>TOTAL - 95344</t>
  </si>
  <si>
    <t>TOTAL - 95341</t>
  </si>
  <si>
    <t>TOTAL - 95372</t>
  </si>
  <si>
    <t>TOTAL - 88248</t>
  </si>
  <si>
    <t>TOTAL - 88629</t>
  </si>
  <si>
    <t>10577/ORSE</t>
  </si>
  <si>
    <t>10578/ORSE</t>
  </si>
  <si>
    <t>11244/ORSE</t>
  </si>
  <si>
    <t>11248/ORSE</t>
  </si>
  <si>
    <t>11249/ORSE</t>
  </si>
  <si>
    <t>TOTAL - 10551/ORSE</t>
  </si>
  <si>
    <t>TOTAL - 00124/ORSE</t>
  </si>
  <si>
    <t>TOTAL - 07692/ORSE</t>
  </si>
  <si>
    <t>TOTAL - 00125/ORSE</t>
  </si>
  <si>
    <t>10585/ORSE</t>
  </si>
  <si>
    <t>10586/ORSE</t>
  </si>
  <si>
    <t>TOTAL - 10555/ORSE</t>
  </si>
  <si>
    <t>TOTAL - 03308/ORSE</t>
  </si>
  <si>
    <t>TOTAL - 95335</t>
  </si>
  <si>
    <t>TOTAL - 89225</t>
  </si>
  <si>
    <t>TOTAL - 89226</t>
  </si>
  <si>
    <t>TOTAL - 95316</t>
  </si>
  <si>
    <t>TOTAL - 95332</t>
  </si>
  <si>
    <t>PLANILHA DE COMPOSIÇÕES ANALÍTICAS AUXILIARES - NÍVEL 3</t>
  </si>
  <si>
    <t>TOTAL - 95389</t>
  </si>
  <si>
    <t>TOTAL - 88826</t>
  </si>
  <si>
    <t>TOTAL - 88827</t>
  </si>
  <si>
    <t>TOTAL - 88828</t>
  </si>
  <si>
    <t>TOTAL - 88829</t>
  </si>
  <si>
    <t>TOTAL - 00128/ORSE</t>
  </si>
  <si>
    <t>01113/ORSE</t>
  </si>
  <si>
    <t>TOTAL - 01905/ORSE</t>
  </si>
  <si>
    <t>TOTAL - 95347</t>
  </si>
  <si>
    <t>TOTAL - 95360</t>
  </si>
  <si>
    <t>TOTAL - 95308</t>
  </si>
  <si>
    <t>TOTAL - 95314</t>
  </si>
  <si>
    <t>TOTAL - 90582</t>
  </si>
  <si>
    <t>TOTAL - 90583</t>
  </si>
  <si>
    <t>TOTAL - 90584</t>
  </si>
  <si>
    <t>TOTAL - 90585</t>
  </si>
  <si>
    <t>TOTAL - 91688</t>
  </si>
  <si>
    <t>TOTAL - 91689</t>
  </si>
  <si>
    <t>TOTAL - 91690</t>
  </si>
  <si>
    <t>TOTAL - 91691</t>
  </si>
  <si>
    <t>TOTAL - 88296</t>
  </si>
  <si>
    <t>TOTAL - 93283</t>
  </si>
  <si>
    <t>TOTAL - 93284</t>
  </si>
  <si>
    <t>TOTAL - 93285</t>
  </si>
  <si>
    <t>TOTAL - 93286</t>
  </si>
  <si>
    <t>TOTAL - 93296</t>
  </si>
  <si>
    <t>TOTAL - 95358</t>
  </si>
  <si>
    <t>TOTAL - 95317</t>
  </si>
  <si>
    <t>TOTAL - 89221</t>
  </si>
  <si>
    <t>TOTAL - 89222</t>
  </si>
  <si>
    <t>TOTAL - 89223</t>
  </si>
  <si>
    <t>TOTAL - 89224</t>
  </si>
  <si>
    <t>PLANILHA DE COMPOSIÇÕES ANALÍTICAS AUXILIARES - NÍVEL 4</t>
  </si>
  <si>
    <t>TOTAL - 95359</t>
  </si>
  <si>
    <t>PLANILHA DE COMPOSIÇÕES ANALÍTICAS AUXILIARES - NÍVEL 5</t>
  </si>
  <si>
    <t>CURVA ABC DE SERVIÇOS</t>
  </si>
  <si>
    <t>TOTAIS</t>
  </si>
  <si>
    <t>COMPOSIÇÃO DA TAXA DE BDI</t>
  </si>
  <si>
    <t>Limites p/Edificações</t>
  </si>
  <si>
    <t>AC</t>
  </si>
  <si>
    <t>ADMINISTRAÇÃO CENTRAL</t>
  </si>
  <si>
    <t>3,0 a 5,5%</t>
  </si>
  <si>
    <t>SG</t>
  </si>
  <si>
    <t>SEGURO E GARANTIA</t>
  </si>
  <si>
    <t>0,8 a 1,0%</t>
  </si>
  <si>
    <t>R</t>
  </si>
  <si>
    <t>RISCOS</t>
  </si>
  <si>
    <t>0,97 a 1,27%</t>
  </si>
  <si>
    <t>DF</t>
  </si>
  <si>
    <t>DESPESA FINANCEIRA</t>
  </si>
  <si>
    <t>0,59 a 1,39%</t>
  </si>
  <si>
    <t>L</t>
  </si>
  <si>
    <t>LUCRO</t>
  </si>
  <si>
    <t>6,16 a 8,96%</t>
  </si>
  <si>
    <t>I</t>
  </si>
  <si>
    <t>TRIBUTOS E IMPOSTOS</t>
  </si>
  <si>
    <t>-</t>
  </si>
  <si>
    <t>PIS</t>
  </si>
  <si>
    <t>PROGRAMA DE INTEGRAÇÃO SOCIAL</t>
  </si>
  <si>
    <t>COFINS</t>
  </si>
  <si>
    <t>CONSTRIBUIÇÃO SOCIAL PARA FINANCIAMENTO DA SEGURIDADE SOCIAL</t>
  </si>
  <si>
    <t>ISS</t>
  </si>
  <si>
    <t>2,0 a 5,0%</t>
  </si>
  <si>
    <t>% ISS do município (sugerido):</t>
  </si>
  <si>
    <t>CPRB</t>
  </si>
  <si>
    <t>CONTRIBUIÇÃO PREVIDENCIÁRIA SOBRE A RECEITA BRUTA</t>
  </si>
  <si>
    <t>% de mão de obra (sugerido):</t>
  </si>
  <si>
    <t>BDI</t>
  </si>
  <si>
    <t>TAXA DE BENEFÍCIOS E DESPESAS INDIRETAS</t>
  </si>
  <si>
    <t>20,34 a 25,0% (sem CPRB)</t>
  </si>
  <si>
    <t>BDI   =   {   [   (   1   +   AC   +   SG   +   R   )   x   (   1   +   DF   )   x   (   1   +   L   )   ]   /   [   1   -   (   PIS   +   COFINS   +   ISS   +   CPRB   )   ]   }   -   1</t>
  </si>
  <si>
    <t>Cálculo em conformidade com o acórdão nº 2622/2013-TCU e Lei nº 13.161 de 31 de agosto de 2015.</t>
  </si>
  <si>
    <t>OBSERVAÇÕES</t>
  </si>
  <si>
    <t>a) Os percentuais de Impostos a serem adotados devem ser indicados pelo Tomador, conforme legislação vigente. Deverão ser definidos pelo Tomador, conforme Código Tributário do município, o valor do ISS, que será um percentual entre 2% e 5%, e a alíquota aplicada sobre o mesmo, representando o percentual de mão de obra em relação ao valor total da obra.</t>
  </si>
  <si>
    <t>b) Para análise de orçamentos considerando a desoneração sobre a folha de pagamento, prevista na lei nº 12.844/2013, deverá ser adotada uma alíquota de 4,5% sobre a contribuição previenciária sobre a receita bruta. Quando a opção orçamentária não considerar a desoneração da folha de pagamento, deverá ser adotada uma alíquota de 0% no referido item.</t>
  </si>
  <si>
    <t>c) Para o tipo de obra “Construção de Edifícios”, enquadram-se:  a construção de edifícios residenciais de qualquer tipo; casas e residências unifamiliares; edifícios residenciais multifamiliares, incluindo edifícios de grande altura (arranha-céus); a construção de edifícios comerciais de qualquer tipo; consultórios e clínicas médicas; escolas; escritórios comerciais; hospitais; hotéis, motéis e outros tipos de alojamento; lojas, galerias e centros comerciais; restaurantes e outros estabelecimentos similares; shopping centers; a construção de edifícios destinados a outros usos específicos; armazéns e depósitos; edifícios garagem, inclusive garagens subterrâneas; edifícios para uso agropecuário; estações para trens e metropolitanos; estádios esportivos e quadras cobertas; igrejas e outras construções para fins religiosos (templos); instalações para embarque e desembarque de passageiros (em aeroportos, rodoviárias, portos, etc.); penitenciárias e presídios; postos de combustível; a construção de edifícios industriais (fábricas, oficinas, galpões industriais, etc.); as reformas, manutenções correntes, complementações e alterações de edifícios de qualquer natureza já existentes; a montagem de edifícios e casas pré-moldadas ou pré-fabricadas de qualquer material, de natureza permanente ou temporária, quando não realizadas pelo próprio fabricante, conforme classificação 4120-4/00 do CNAE.</t>
  </si>
  <si>
    <t>PLANILHA DE ENCARGOS SOCIAIS</t>
  </si>
  <si>
    <t>SEM DESONERAÇÃO</t>
  </si>
  <si>
    <t>HORISTA</t>
  </si>
  <si>
    <t>MENSALISTA</t>
  </si>
  <si>
    <t>GRUPO A</t>
  </si>
  <si>
    <t>A1</t>
  </si>
  <si>
    <t>INSS</t>
  </si>
  <si>
    <t>A2</t>
  </si>
  <si>
    <t>SESI</t>
  </si>
  <si>
    <t>A3</t>
  </si>
  <si>
    <t>SENAI</t>
  </si>
  <si>
    <t>A4</t>
  </si>
  <si>
    <t>INCRA</t>
  </si>
  <si>
    <t>A5</t>
  </si>
  <si>
    <t>SEBRAE</t>
  </si>
  <si>
    <t>A6</t>
  </si>
  <si>
    <t>SALÁRIO EDUCAÇÃO</t>
  </si>
  <si>
    <t>A7</t>
  </si>
  <si>
    <t>SEGURO CONTRA ACIDENTES DE TRABALHO</t>
  </si>
  <si>
    <t>A8</t>
  </si>
  <si>
    <t>FGTS</t>
  </si>
  <si>
    <t>A9</t>
  </si>
  <si>
    <t>SECONCI</t>
  </si>
  <si>
    <t>A</t>
  </si>
  <si>
    <t>GRUPO B</t>
  </si>
  <si>
    <t>B1</t>
  </si>
  <si>
    <t>REPOUSO SEMANAL REMUNERADO</t>
  </si>
  <si>
    <t>Não Incide</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</si>
  <si>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</si>
  <si>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</si>
  <si>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</si>
  <si>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</si>
  <si>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</si>
  <si>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</si>
  <si>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</si>
  <si>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</si>
  <si>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</si>
  <si>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</si>
  <si>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</si>
  <si>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</si>
  <si>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</si>
  <si>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</si>
  <si>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</si>
  <si>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</si>
  <si>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</si>
  <si>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</si>
  <si>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</si>
  <si>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GRUPO C</t>
  </si>
  <si>
    <t>C1</t>
  </si>
  <si>
    <t>AVISO PRÉVIO INDENIZADO</t>
  </si>
  <si>
    <t>C2</t>
  </si>
  <si>
    <t>AVISO PRÉVIO TRABALHADO</t>
  </si>
  <si>
    <t>C3</t>
  </si>
  <si>
    <t>FÉRIAS INDENIZADAS</t>
  </si>
  <si>
    <t>C4</t>
  </si>
  <si>
    <t>DEPÓSITO RESCISÃO SEM JUSTA CAUSA</t>
  </si>
  <si>
    <t>C5</t>
  </si>
  <si>
    <t>INDENIZAÇÃO ADICIONAL</t>
  </si>
  <si>
    <t>C</t>
  </si>
  <si>
    <t>GRUPO D</t>
  </si>
  <si>
    <t>D1</t>
  </si>
  <si>
    <t>REINCIDÊNCIA DE GRUPO A SOBRE GRUPO B</t>
  </si>
  <si>
    <t>D2</t>
  </si>
  <si>
    <t>REINCIDÊNCIA DE GRUPO A SOBRE AVISO PRÉVIO TRABALHADO E REINCIDÊNCIA DO FGTS SOBRE AVISO PRÉVIO INDENIZADO</t>
  </si>
  <si>
    <t>D</t>
  </si>
  <si>
    <t>TOTAL A + B + C + D</t>
  </si>
  <si>
    <t>FONTE: http://www.caixa.gov.br/site/paginas/downloads.aspx</t>
  </si>
  <si>
    <t>Código</t>
  </si>
  <si>
    <t>Descrição</t>
  </si>
  <si>
    <t>Unidade</t>
  </si>
  <si>
    <t>Preço</t>
  </si>
  <si>
    <t>CD</t>
  </si>
  <si>
    <t>SD</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</si>
  <si>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</si>
  <si>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INST. TUBO PVC, SÉRIE N, ESGOTO PREDIAL, 100 MM (INST. RAMAL DESCARGA, RAMAL DE ESG. SANIT., PRUMADA ESG. SANIT., VENTILAÇÃO OU SUB-COLETOR AÉREO), INCL. CONEXÕES E CORTES, FIXAÇÕES, P/ PRÉDIOS. AF_10/2015</t>
  </si>
  <si>
    <t>M</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</si>
  <si>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</si>
  <si>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REVESTIMENTO CERÂMICO PARA PISO COM PLACAS TIPO ESMALTADA EXTRA DE DIMENSÕES 35X35 CM, PARA EDIFICAÇÃO HABITACIONAL UNIFAMILIAR (CASA) E EDIFICAÇÃO PÚBLICA PADRÃO. AF_11/2014</t>
  </si>
  <si>
    <t>(COMPOSIÇÃO REPRESENTATIVA) EXECUÇÃO DE ESTRUTURAS DE CONCRETO ARMADO CONVENCIONAL, PARA EDIFICAÇÃO HABITACIONAL MULTIFAMILIAR (PRÉDIO), FCK = 25 MPA. AF_01/2017</t>
  </si>
  <si>
    <t>M3</t>
  </si>
  <si>
    <t>AÇO CA - 50 Ø 6,3 A 12,5MM, INCLUSIVE CORTE, DOBRAGEM, MONTAGEM E COLOCACAO DE FERRAGENS NAS FORMAS, PARA SUPERESTRUTURAS E FUNDAÇÕES - R1</t>
  </si>
  <si>
    <t>KG</t>
  </si>
  <si>
    <t>AÇO CA - 60 Ø 4,2 A 9,5MM, INCLUSIVE CORTE, DOBRAGEM, MONTAGEM E COLOCACAO DE FERRAGENS NAS FORMAS, PARA SUPERESTRUTURAS E FUNDAÇÕES - R1</t>
  </si>
  <si>
    <t>ADAPTADOR CURTO COM BOLSA E ROSCA PARA REGISTRO, PVC, SOLDÁVEL, DN 25MM X 3/4, INSTALADO EM RAMAL OU SUB-RAMAL DE ÁGUA - FORNECIMENTO E INSTALAÇÃO. AF_12/2014</t>
  </si>
  <si>
    <t>UN</t>
  </si>
  <si>
    <t>AJUDANTE DE ARMADOR COM ENCARGOS COMPLEMENTARES</t>
  </si>
  <si>
    <t>H</t>
  </si>
  <si>
    <t>AJUDANTE DE CARPINTEIRO COM ENCARGOS COMPLEMENTARES</t>
  </si>
  <si>
    <t>AJUDANTE ESPECIALIZADO COM ENCARGOS COMPLEMENTARES</t>
  </si>
  <si>
    <t>ALVENARIA DE EMBASAMENTO DE PEDRA ARGAMASSADA</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</si>
  <si>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</si>
  <si>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EM BETONEIRA. AF_06/2014</t>
  </si>
  <si>
    <t>ALVENARIA TIJOLO CERÂMICO MACIÇO (5X9X19), ESP = 0,09M (SINGELA), COM ARGAMASSA TRAÇO T5 - 1:2:8 (CIMENTO / CAL / AREIA) C/ JUNTA DE 2,0CM - R1</t>
  </si>
  <si>
    <t>APLICAÇÃO MANUAL DE FUNDO SELADOR ACRÍLICO EM PAREDES EXTERNAS DE CASAS. AF_06/2014</t>
  </si>
  <si>
    <t>APLICAÇÃO MANUAL DE PINTURA COM TINTA LÁTEX ACRÍLICA EM PAREDES, DUAS DEMÃOS. AF_06/2014</t>
  </si>
  <si>
    <t>ARGAMASSA CIMENTO E AREIA TRAÇO T-1 (1:3) - 1 SACO CIMENTO 50KG / 3 PADIOLAS AREIA DIM. 0.35 X 0.45 X 0.23 M - CONFECÇÃO MECÂNICA E TRANSPORTE</t>
  </si>
  <si>
    <t>ARGAMASSA CIMENTO E AREIA TRAÇO T-3 (1:3), COM ADITIVO VEDACIT OU SIMILAR- 1 SACO CIMENTO 50KG / 3 PADIOLAS AREIA DIM. 0,35X0,45X0,23M / 2KG ADITIVO VEDACIT - CONFECÇÃO MECÂNICA E TRANSPORTE</t>
  </si>
  <si>
    <t>ARGAMASSA EM VOLUME - CIMENTO, CAL E AREIA TRAÇO T-5 (1:2:8) - 1 SACO CIMENTO 50 KG / 2 SACOS CAL 20 KG / 8 PADIOLAS DE AREIA DIM 0.35 X 0.45 X 0.13 M - CONFECÇÃO MECÂNICA E TRANSPORTE</t>
  </si>
  <si>
    <t>ARGAMASSA TRAÇO 1:2:8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</si>
  <si>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MECÂNICO COM BETONEIRA 400 L. AF_08/2019</t>
  </si>
  <si>
    <t>ARGAMASSA TRAÇO 1:3 (EM VOLUME DE CIMENTO E AREIA GROSSA ÚMIDA) PARA CHAPISCO CONVENCIONAL, PREPARO MECÂNICO COM BETONEIRA 400 L. AF_08/2019</t>
  </si>
  <si>
    <t>ARGAMASSA TRAÇO 1:3 (EM VOLUME DE CIMENTO E AREIA MÉDIA ÚMIDA), PREPARO MANUAL. AF_08/2019</t>
  </si>
  <si>
    <t>ARGAMASSA TRAÇO 1:3:12 (EM VOLUME DE CIMENTO, CAL E AREIA MÉDIA ÚMIDA) PARA EMBOÇO/MASSA ÚNICA/ASSENTAMENTO DE ALVENARIA DE VEDAÇÃO, PREPARO MECÂNICO COM BETONEIRA 600 L. AF_08/2019</t>
  </si>
  <si>
    <t>ARMAÇÃO DE BLOCO, VIGA BALDRAME E SAPATA UTILIZANDO AÇO CA-60 DE 5 MM - MONTAGEM. AF_06/2017</t>
  </si>
  <si>
    <t>ARMAÇÃO DE BLOCO, VIGA BALDRAME OU SAPATA UTILIZANDO AÇO CA-50 DE 10 MM - MONTAGEM. AF_06/2017</t>
  </si>
  <si>
    <t>ARMAÇÃO DE BLOCO, VIGA BALDRAME OU SAPATA UTILIZANDO AÇO CA-50 DE 6,3 MM - MONTAGEM. AF_06/2017</t>
  </si>
  <si>
    <t>ARMAÇÃO DE ESCADA, DE UMA ESTRUTURA CONVENCIONAL DE CONCRETO ARMADO UTILIZANDO AÇO CA-50 DE 6,3 MM - MONTAGEM. AF_11/2020</t>
  </si>
  <si>
    <t>ARMAÇÃO DE ESCADA, DE UMA ESTRUTURA CONVENCIONAL DE CONCRETO ARMADO UTILIZANDO AÇO CA-50 DE 8,0 MM - MONTAGEM. AF_11/2020</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</si>
  <si>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</si>
  <si>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</si>
  <si>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</si>
  <si>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</si>
  <si>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</si>
  <si>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</si>
  <si>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</si>
  <si>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</si>
  <si>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</si>
  <si>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</si>
  <si>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CA-60 DE 5,0 MM - MONTAGEM. AF_12/2015</t>
  </si>
  <si>
    <t>ARMADOR COM ENCARGOS COMPLEMENTARES</t>
  </si>
  <si>
    <t>ATERRO MANUAL DE VALAS COM SOLO ARGILO-ARENOSO E COMPACTAÇÃO MECANIZADA. AF_05/2016</t>
  </si>
  <si>
    <t>AUXILIAR DE ELETRICISTA COM ENCARGOS COMPLEMENTARES</t>
  </si>
  <si>
    <t>AUXILIAR DE ENCANADOR OU BOMBEIRO HIDRÁULICO COM ENCARGOS COMPLEMENTARES</t>
  </si>
  <si>
    <t>AZULEJISTA OU LADRILHISTA COM ENCARGOS COMPLEMENTARES</t>
  </si>
  <si>
    <t>BASCULANTE DE FERRO</t>
  </si>
  <si>
    <t>BETONEIRA CAPACIDADE NOMINAL DE 400 L, CAPACIDADE DE MISTURA 280 L, MOTOR ELÉTRICO TRIFÁSICO POTÊNCIA DE 2 CV, SEM CARREGADOR - CHI DIURNO. AF_10/2014</t>
  </si>
  <si>
    <t>CHI</t>
  </si>
  <si>
    <t>BETONEIRA CAPACIDADE NOMINAL DE 400 L, CAPACIDADE DE MISTURA 280 L, MOTOR ELÉTRICO TRIFÁSICO POTÊNCIA DE 2 CV, SEM CARREGADOR - CHP DIURNO. AF_10/2014</t>
  </si>
  <si>
    <t>CHP</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</si>
  <si>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</si>
  <si>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</si>
  <si>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</si>
  <si>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</si>
  <si>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BETONEIRA CAPACIDADE NOMINAL DE 600 L, CAPACIDADE DE MISTURA 360 L, MOTOR ELÉTRICO TRIFÁSICO POTÊNCIA DE 4 CV, SEM CARREGADOR - CHI DIURNO. AF_11/2014</t>
  </si>
  <si>
    <t>BETONEIRA CAPACIDADE NOMINAL DE 600 L, CAPACIDADE DE MISTURA 360 L, MOTOR ELÉTRICO TRIFÁSICO POTÊNCIA DE 4 CV, SEM CARREGADOR - CHP DIURNO.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</si>
  <si>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</si>
  <si>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</si>
  <si>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</si>
  <si>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</si>
  <si>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</si>
  <si>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</si>
  <si>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6 MM², ANTI-CHAMA 0,6/1,0 KV, PARA CIRCUITOS TERMINAIS - FORNECIMENTO E INSTALAÇÃO. AF_12/2015</t>
  </si>
  <si>
    <t>CABO DE COBRE ISOLADO EPR OU XLPE 6,0MM²,  0,6/1KV / 90º C</t>
  </si>
  <si>
    <t>CABO DE COBRE NÚ 10 MM2 - FORNECIMENTO E ASSENTAMENTO (10,85M/KG)</t>
  </si>
  <si>
    <t>CAIXA D'AGUA DE POLIETILENO - INSTALADA, EXCETO BASE DE APOIO, CAP. 500 LITROS</t>
  </si>
  <si>
    <t>CAIXA DE INSPEÇÃO  0,30 X 0,30 X 0,40M</t>
  </si>
  <si>
    <t>CAIXA DE INSPEÇÃO  0.60 X 0.60 X 0.60M</t>
  </si>
  <si>
    <t>CAMINHÃO PIPA 10.000 L TRUCADO, PESO BRUTO TOTAL 23.000 KG, CARGA ÚTIL MÁXIMA 15.935 KG, DISTÂNCIA ENTRE EIXOS 4,8 M, POTÊNCIA 230 CV, INCLUSIVE TANQUE DE AÇO PARA TRANSPORTE DE ÁGUA - CHI DIURNO. AF_06/2014</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</si>
  <si>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</si>
  <si>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</si>
  <si>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IMPOSTOS E SEGUROS.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</si>
  <si>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</si>
  <si>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MANUTENÇÃO. AF_06/2014</t>
  </si>
  <si>
    <t>CAMINHÃO PIPA 10.000 L TRUCADO, PESO BRUTO TOTAL 23.000 KG, CARGA ÚTIL MÁXIMA 15.935 KG, DISTÂNCIA ENTRE EIXOS 4,8 M, POTÊNCIA 230 CV, INCLUSIVE TANQUE DE AÇO PARA TRANSPORTE DE ÁGUA - MATERIAIS NA OPERAÇÃO. AF_06/2014</t>
  </si>
  <si>
    <t>CARPINTEIRO DE FORMAS COM ENCARGOS COMPLEMENTARES</t>
  </si>
  <si>
    <t>CHAPISCO APLICADO EM ALVENARIA (COM PRESENÇA DE VÃOS) E ESTRUTURAS DE CONCRETO DE FACHADA, COM COLHER DE PEDREIRO.  ARGAMASSA TRAÇO 1:3 COM PREPARO EM BETONEIRA 400L. AF_06/2014</t>
  </si>
  <si>
    <t>CHAPISCO EM PAREDE COM ARGAMASSA TRAÇO T1 - 1:3 (CIMENTO / AREIA) - REVISADO 08/2015</t>
  </si>
  <si>
    <t>CHUMBAMENTO LINEAR EM ALVENARIA PARA RAMAIS/DISTRIBUIÇÃO COM DIÂMETROS MENORES OU IGUAIS A 40 MM. AF_05/2015</t>
  </si>
  <si>
    <t>CHUMBAMENTO PONTUAL EM PASSAGEM DE TUBO COM DIÂMETRO MAIOR QUE 75 MM. AF_05/2015</t>
  </si>
  <si>
    <t>CHUMBAMENTO PONTUAL EM PASSAGEM DE TUBO COM DIÂMETRO MENOR OU IGUAL A 40 MM. AF_05/2015</t>
  </si>
  <si>
    <t>CHUVEIRO SIMPLES DE PLÁSTICO (HERC REF 1980 OU SIMILAR), C/ REGISTRO DE PRESSÃO DE PVC</t>
  </si>
  <si>
    <t>COLETA E CARGA MANUAIS DE ENTULHO</t>
  </si>
  <si>
    <t>COMPACTADOR DE SOLOS DE PERCUSSÃO (SOQUETE) COM MOTOR A GASOLINA 4 TEMPOS, POTÊNCIA 4 CV - CHI DIURNO. AF_08/2015</t>
  </si>
  <si>
    <t>COMPACTADOR DE SOLOS DE PERCUSSÃO (SOQUETE) COM MOTOR A GASOLINA 4 TEMPOS, POTÊNCIA 4 CV - CHP DIURNO.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</si>
  <si>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</si>
  <si>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</si>
  <si>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</si>
  <si>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</si>
  <si>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CONCRETO FCK = 20MPA, TRAÇO 1:2,7:3 (EM MASSA SECA DE CIMENTO/ AREIA MÉDIA/ BRITA 1) - PREPARO MECÂNICO COM BETONEIRA 400 L. AF_05/2021</t>
  </si>
  <si>
    <t>CONCRETO MAGRO PARA LASTRO, TRAÇO 1:4,5:4,5 (EM MASSA SECA DE CIMENTO/ AREIA MÉDIA/ BRITA 1) - PREPARO MECÂNICO COM BETONEIRA 400 L. AF_05/2021</t>
  </si>
  <si>
    <t>CONCRETO SIMPLES FABRICADO NA OBRA, FCK=13,5 MPA (B1/B2), SEM LANÇAMENTO E ADENSAMENTO</t>
  </si>
  <si>
    <t>CONCRETO SIMPLES FABRICADO NA OBRA, FCK=13,5 MPA, LANÇADO E ADENSADO</t>
  </si>
  <si>
    <t>CONCRETO SIMPLES FABRICADO NA OBRA, FCK=15 MPA, LANÇADO E ADENSADO</t>
  </si>
  <si>
    <t>CONCRETO SIMPLES FCK= 15 MPA (B1/B2), FABRICADO NA OBRA, SEM LANÇAMENTO E ADENSAMENTO</t>
  </si>
  <si>
    <t>CONCRETO SIMPLES USINADO FCK=21MPA, BOMBEADO, LANÇADO E ADENSADO EM SUPERESTRUTURA</t>
  </si>
  <si>
    <t>CONECTOR PARA HASTE DE ATERRAMENTO 5/8" - FORNECIMENTO</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</si>
  <si>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</si>
  <si>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</si>
  <si>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</si>
  <si>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</si>
  <si>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</si>
  <si>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CA-50, DIÂMETRO DE 6,3 MM, UTILIZADO EM ESTRUTURAS DIVERSAS, EXCETO LAJES. AF_12/2015</t>
  </si>
  <si>
    <t>CORTE E DOBRA DE AÇO CA-50, DIÂMETRO DE 6,3 MM, UTILIZADO EM LAJE. AF_12/2015</t>
  </si>
  <si>
    <t>CORTE E DOBRA DE AÇO CA-50, DIÂMETRO DE 8,0 MM, UTILIZADO EM ESTRUTURAS DIVERSAS, EXCETO LAJES. AF_12/2015</t>
  </si>
  <si>
    <t>CORTE E DOBRA DE AÇO CA-50, DIÂMETRO DE 8,0 MM, UTILIZADO EM LAJE. AF_12/2015</t>
  </si>
  <si>
    <t>CORTE E DOBRA DE AÇO CA-60, DIÂMETRO DE 5,0 MM, UTILIZADO EM ESTRUTURAS DIVERSAS, EXCETO LAJES. AF_12/2015</t>
  </si>
  <si>
    <t>CORTE E DOBRA DE AÇO CA-60, DIÂMETRO DE 5,0 MM, UTILIZADO EM LAJE. AF_12/2015</t>
  </si>
  <si>
    <t>CORTE RASO E RECORTE DE ÁRVORE COM DIÂMETRO DE TRONCO MAIOR OU IGUAL A 0,40 M E MENOR QUE 0,60 M.AF_05/2018</t>
  </si>
  <si>
    <t>CURSO DE CAPACITAÇÃO PARA AJUDANTE DE ARMADOR (ENCARGOS COMPLEMENTARES) - HORISTA</t>
  </si>
  <si>
    <t>CURSO DE CAPACITAÇÃO PARA AJUDANTE DE CARPINTEIRO (ENCARGOS COMPLEMENTARES) - HORISTA</t>
  </si>
  <si>
    <t>CURSO DE CAPACITAÇÃO PARA AJUDANTE ESPECIALIZADO (ENCARGOS COMPLEMENTARES) - HORISTA</t>
  </si>
  <si>
    <t>CURSO DE CAPACITAÇÃO PARA ARMADOR (ENCARGOS COMPLEMENTARES) - HORISTA</t>
  </si>
  <si>
    <t>CURSO DE CAPACITAÇÃO PARA AUXILIAR DE ELETRICISTA (ENCARGOS COMPLEMENTARES) - HORISTA</t>
  </si>
  <si>
    <t>CURSO DE CAPACITAÇÃO PARA AUXILIAR DE ENCANADOR OU BOMBEIRO HIDRÁULICO (ENCARGOS COMPLEMENTARES) - HORISTA</t>
  </si>
  <si>
    <t>CURSO DE CAPACITAÇÃO PARA AZULEJISTA OU LADRILHISTA (ENCARGOS COMPLEMENTARES) - HORISTA</t>
  </si>
  <si>
    <t>CURSO DE CAPACITAÇÃO PARA CARPINTEIRO DE FÔRMAS (ENCARGOS COMPLEMENTARES) - HORISTA</t>
  </si>
  <si>
    <t>CURSO DE CAPACITAÇÃO PARA ELETRICISTA (ENCARGOS COMPLEMENTARES) - HORISTA</t>
  </si>
  <si>
    <t>CURSO DE CAPACITAÇÃO PARA ENCANADOR OU BOMBEIRO HIDRÁULICO (ENCARGOS COMPLEMENTARES) - HORISTA</t>
  </si>
  <si>
    <t>CURSO DE CAPACITAÇÃO PARA ENCARREGADO GERAL (ENCARGOS COMPLEMENTARES) - HORISTA</t>
  </si>
  <si>
    <t>CURSO DE CAPACITAÇÃO PARA ENGENHEIRO CIVIL DE OBRA JÚNIOR (ENCARGOS COMPLEMENTARES) - HORISTA</t>
  </si>
  <si>
    <t>CURSO DE CAPACITAÇÃO PARA IMPERMEABILIZADOR (ENCARGOS COMPLEMENTARES) - HORISTA</t>
  </si>
  <si>
    <t>CURSO DE CAPACITAÇÃO PARA JARDINEIRO (ENCARGOS COMPLEMENTARES) - HORISTA</t>
  </si>
  <si>
    <t>CURSO DE CAPACITAÇÃO PARA MARMORISTA/GRANITEIRO (ENCARGOS COMPLEMENTARES) - HORISTA</t>
  </si>
  <si>
    <t>CURSO DE CAPACITAÇÃO PARA MESTRE DE OBRAS (ENCARGOS COMPLEMENTARES) - HORISTA</t>
  </si>
  <si>
    <t>CURSO DE CAPACITAÇÃO PARA MONTADOR DE ESTRUTURA METÁLICA (ENCARGOS COMPLEMENTARES) - HORISTA</t>
  </si>
  <si>
    <t>CURSO DE CAPACITAÇÃO PARA MOTORISTA DE CAMINHÃO (ENCARGOS COMPLEMENTARES) - HORISTA</t>
  </si>
  <si>
    <t>CURSO DE CAPACITAÇÃO PARA OPERADOR DE BETONEIRA ESTACIONÁRIA/MISTURADOR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</si>
  <si>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</si>
  <si>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</si>
  <si>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</si>
  <si>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PEDREIRO (ENCARGOS COMPLEMENTARES) - HORISTA</t>
  </si>
  <si>
    <t>CURSO DE CAPACITAÇÃO PARA PINTOR (ENCARGOS COMPLEMENTARES) - HORISTA</t>
  </si>
  <si>
    <t>CURSO DE CAPACITAÇÃO PARA SERVENTE (ENCARGOS COMPLEMENTARES) - HORISTA</t>
  </si>
  <si>
    <t>CURSO DE CAPACITAÇÃO PARA TELHADISTA (ENCARGOS COMPLEMENTARES) - HORISTA</t>
  </si>
  <si>
    <t>CURVA CURTA 90 GRAUS, PVC, SERIE NORMAL, ESGOTO PREDIAL, DN 100 MM, JUNTA ELÁSTICA, FORNECIDO E INSTALADO EM RAMAL DE DESCARGA OU RAMAL DE ESGOTO SANITÁRIO. AF_12/2014</t>
  </si>
  <si>
    <t>CURVA PARA ELETRODUTO DE PVC RÍGIDO ROSCÁVEL, DIÂM = 25MM (3/4")</t>
  </si>
  <si>
    <t>DEMOLIÇÃO DE ALVENARIA DE BLOCO FURADO, DE FORMA MANUAL, SEM REAPROVEITAMENTO. AF_12/2017</t>
  </si>
  <si>
    <t>DISJUNTOR MONOPOLAR DR 25 A  - DISPOSITIVO RESIDUAL DIFERENCIAL, TIPO AC, REF.5SU1 SIEMENS OU SIMILAR</t>
  </si>
  <si>
    <t>DISJUNTOR MONOPOLAR TIPO DIN, CORRENTE NOMINAL DE 16A - FORNECIMENTO E INSTALAÇÃO. AF_10/2020</t>
  </si>
  <si>
    <t>DISJUNTOR MONOPOLAR TIPO NEMA, CORRENTE NOMINAL DE 10 ATÉ 30A - FORNECIMENTO E INSTALAÇÃO. AF_10/2020</t>
  </si>
  <si>
    <t>DISJUNTOR TERMOMAGNETICO MONOPOLAR 32 A, PADRÃO DIN (EUROPEU - LINHA BRANCA)</t>
  </si>
  <si>
    <t>DISPOSITIVO DE PROTEÇÃO CONTRA SURTO DE TENSÃO DPS 40KA - 175V</t>
  </si>
  <si>
    <t>DIVISÓRIA EM GRANITO CINZA ANDORINHA POLIDO, E=2CM, INCLUSIVE MONTAGEM COM FERRAGENS - REV 02</t>
  </si>
  <si>
    <t>ELETRICISTA COM ENCARGOS COMPLEMENTARES</t>
  </si>
  <si>
    <t>ELETRODUTO DE PVC RÍGIDO ROSCÁVEL, DIÂM = 25MM (3/4")</t>
  </si>
  <si>
    <t>ELETRODUTO FLEXÍVEL CORRUGADO, PVC, DN 25 MM (3/4"), PARA CIRCUITOS TERMINAIS, INSTALADO EM FORRO - FORNECIMENTO E INSTALAÇÃO. AF_12/2015</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</si>
  <si>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</si>
  <si>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MENOR QUE 5M2, ESPESSURA DE 20MM, COM EXECUÇÃO DE TALISCAS. AF_06/2014</t>
  </si>
  <si>
    <t>ENCANADOR OU BOMBEIRO HIDRÁULICO COM ENCARGOS COMPLEMENTARES</t>
  </si>
  <si>
    <t>ENCARGOS COMPLEMENTARES - ARMADOR</t>
  </si>
  <si>
    <t>ENCARGOS COMPLEMENTARES - CARPINTEIRO</t>
  </si>
  <si>
    <t>ENCARGOS COMPLEMENTARES - ELETRICISTA</t>
  </si>
  <si>
    <t>ENCARGOS COMPLEMENTARES - ENCANADOR</t>
  </si>
  <si>
    <t>ENCARGOS COMPLEMENTARES - PEDREIRO</t>
  </si>
  <si>
    <t>ENCARGOS COMPLEMENTARES - PINTOR</t>
  </si>
  <si>
    <t>ENCARGOS COMPLEMENTARES - SERVENTE</t>
  </si>
  <si>
    <t>ENCARREGADO GERAL COM ENCARGOS COMPLEMENTARES</t>
  </si>
  <si>
    <t>ENGENHEIRO CIVIL DE OBRA JUNIOR COM ENCARGOS COMPLEMENTARES</t>
  </si>
  <si>
    <t>ENTRADA DE ENERGIA ELÉTRICA MONOFÁSICA DEMANDA ENTRE 0 E 3,8 KW - REV 01</t>
  </si>
  <si>
    <t>ESCAVAÇÃO MANUAL DE VALA OU CAVA EM MATERIAL DE 1ª CATEGORIA, PROFUNDIDADE ATÉ 1,50M</t>
  </si>
  <si>
    <t>ESCAVAÇÃO MANUAL DE VALA PARA VIGA BALDRAME, SEM PREVISÃO DE FÔRMA. AF_06/2017</t>
  </si>
  <si>
    <t>ESCAVAÇÃO MANUAL SOLO DE 1A CAT. PROF. DE 1.51 a 3.00m</t>
  </si>
  <si>
    <t>ESPELHO DE CRISTAL 4MM COM MOLDURA DE ALUMÍNIO</t>
  </si>
  <si>
    <t>EXECUÇÃO DE PASSEIO (CALÇADA) OU PISO DE CONCRETO COM CONCRETO MOLDADO IN LOCO, FEITO EM OBRA, ACABAMENTO CONVENCIONAL, ESPESSURA 6 CM, ARMADO. AF_07/2016</t>
  </si>
  <si>
    <t>FABRICAÇÃO DE ESCORAS DE VIGA DO TIPO GARFO, EM MADEIRA. AF_09/2020</t>
  </si>
  <si>
    <t>FABRICAÇÃO DE FÔRMA PARA ESCADAS, COM 2 LANCES EM "U" E LAJE PLANA, EM CHAPA DE MADEIRA COMPENSADA PLASTIFICADA, E=18 MM. AF_11/2020</t>
  </si>
  <si>
    <t>FABRICAÇÃO DE FÔRMA PARA LAJES, EM CHAPA DE MADEIRA COMPENSADA RESINADA, E = 17 MM. AF_09/2020</t>
  </si>
  <si>
    <t>FABRICAÇÃO DE FÔRMA PARA PILARES E ESTRUTURAS SIMILARES, EM CHAPA DE MADEIRA COMPENSADA RESINADA, E = 17 MM. AF_09/2020</t>
  </si>
  <si>
    <t>FABRICAÇÃO DE FÔRMA PARA VIGAS, EM CHAPA DE MADEIRA COMPENSADA RESINADA, E = 17 MM. AF_09/2020</t>
  </si>
  <si>
    <t>FABRICAÇÃO E INSTALAÇÃO DE TESOURA INTEIRA EM MADEIRA NÃO APARELHADA, VÃO DE 8 M, PARA TELHA CERÂMICA OU DE CONCRETO, INCLUSO IÇAMENTO. AF_07/2019</t>
  </si>
  <si>
    <t>FABRICAÇÃO, MONTAGEM E DESMONTAGEM DE FÔRMA PARA VIGA BALDRAME, EM MADEIRA SERRADA, E=25 MM, 2 UTILIZAÇÕES. AF_06/2017</t>
  </si>
  <si>
    <t>FIXAÇÃO DE TUBOS HORIZONTAIS DE PVC, CPVC OU COBRE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</si>
  <si>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</si>
  <si>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MENORES OU IGUAIS A 40 MM OU ELETROCALHAS ATÉ 150MM DE LARGURA, COM ABRAÇADEIRA METÁLICA RÍGIDA TIPO D 1/2, FIXADA EM PERFILADO EM LAJE. AF_05/2015</t>
  </si>
  <si>
    <t>FORMA PLANA PARA ESTRUTURAS, EM COMPENSADO PLASTIFICADO DE 12MM, 10 USOS, INCLUSIVE ESCORAMENTO - REVISADA 07.2015</t>
  </si>
  <si>
    <t>FORMA PLANA PARA FUNDAÇÕES, EM COMPENSADO RESINADO 12MM, 02 USOS</t>
  </si>
  <si>
    <t>FORMA PLANA PARA FUNDAÇÕES, EM COMPENSADO RESINADO 12MM, 03 USOS</t>
  </si>
  <si>
    <t>FORNECIMENTO DE ISOLADOR ROLDANA DE PORCELANA</t>
  </si>
  <si>
    <t>FORRO EM RÉGUAS DE PVC, FRISADO, PARA AMBIENTES COMERCIAIS, INCLUSIVE ESTRUTURA DE FIXAÇÃO. AF_05/2017_P</t>
  </si>
  <si>
    <t>FOSSA SÉPTICA E SUMIDOURO EM ANÉIS D=1,20M</t>
  </si>
  <si>
    <t>FURO EM ALVENARIA PARA DIÂMETROS MAIORES QUE 75 MM. AF_05/2015</t>
  </si>
  <si>
    <t>FURO EM ALVENARIA PARA DIÂMETROS MENORES OU IGUAIS A 40 MM. AF_05/2015</t>
  </si>
  <si>
    <t>GRADE PROTEÇÃO C/ BARRA REDONDA FERRO 5/8"</t>
  </si>
  <si>
    <t>GUINCHO ELÉTRICO DE COLUNA, CAPACIDADE 400 KG, COM MOTO FREIO, MOTOR TRIFÁSICO DE 1,25 CV - CHI DIURNO. AF_03/2016</t>
  </si>
  <si>
    <t>GUINCHO ELÉTRICO DE COLUNA, CAPACIDADE 400 KG, COM MOTO FREIO, MOTOR TRIFÁSICO DE 1,25 CV - CHP DIURNO.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</si>
  <si>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</si>
  <si>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</si>
  <si>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</si>
  <si>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</si>
  <si>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CHI DIURNO. AF_03/2016</t>
  </si>
  <si>
    <t>GUINDASTE HIDRÁULICO AUTOPROPELIDO, COM LANÇA TELESCÓPICA 40 M, CAPACIDADE MÁXIMA 60 T, POTÊNCIA 260 KW - CHP DIURNO. AF_03/2016</t>
  </si>
  <si>
    <t>GUINDASTE HIDRÁULICO AUTOPROPELIDO, COM LANÇA TELESCÓPICA 40 M, CAPACIDADE MÁXIMA 60 T, POTÊNCIA 260 KW - DEPRECIAÇÃO. AF_03/2016</t>
  </si>
  <si>
    <t>GUINDASTE HIDRÁULICO AUTOPROPELIDO, COM LANÇA TELESCÓPICA 40 M, CAPACIDADE MÁXIMA 60 T, POTÊNCIA 260 KW - IMPOSTOS E SEGUROS.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</si>
  <si>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</si>
  <si>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</si>
  <si>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</si>
  <si>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HASTE COBREADA COPPERWELD P/ATERRAMENTO D=  5/8" X 2,40M</t>
  </si>
  <si>
    <t>IMPERMEABILIZAÇÃO DE SUPERFÍCIE COM EMULSÃO ASFÁLTICA, 2 DEMÃOS AF_06/2018</t>
  </si>
  <si>
    <t>IMPERMEABILIZADOR COM ENCARGOS COMPLEMENTARES</t>
  </si>
  <si>
    <t>INSTALAÇÃO DE TESOURA (INTEIRA OU MEIA), BIAPOIADA, EM MADEIRA NÃO APARELHADA, PARA VÃOS MAIORES OU IGUAIS A 8,0 M E MENORES QUE 10,0 M, INCLUSO IÇAMENTO. AF_07/2019</t>
  </si>
  <si>
    <t>INTERRUPTOR PARALELO (3 MÓDULOS), 10A/250V, INCLUINDO SUPORTE E PLACA - FORNECIMENTO E INSTALAÇÃO. AF_12/2015</t>
  </si>
  <si>
    <t>INTERRUPTOR PARALELO (3 MÓDULOS), 10A/250V, SEM SUPORTE E SEM PLACA - FORNECIMENTO E INSTALAÇÃO. AF_12/2015</t>
  </si>
  <si>
    <t>INTERRUPTOR SIMPLES (1 MÓDULO), 10A/250V, INCLUINDO SUPORTE E PLACA - FORNECIMENTO E INSTALAÇÃO. AF_12/2015</t>
  </si>
  <si>
    <t>INTERRUPTOR SIMPLES (1 MÓDULO), 10A/250V, SEM SUPORTE E SEM PLACA - FORNECIMENTO E INSTALAÇÃO. AF_12/2015</t>
  </si>
  <si>
    <t>JARDINEIRO COM ENCARGOS COMPLEMENTARES</t>
  </si>
  <si>
    <t>JOELHO 45 GRAUS, PVC, SERIE NORMAL, ESGOTO PREDIAL, DN 100 MM, JUNTA ELÁSTICA, FORNECIDO E INSTALADO EM PRUMADA DE ESGOTO SANITÁRIO OU VENTILAÇÃO. AF_12/2014</t>
  </si>
  <si>
    <t>JOELHO 45 GRAUS, PVC, SERIE NORMAL, ESGOTO PREDIAL, DN 100 MM, JUNTA ELÁSTICA, FORNECIDO E INSTALADO EM RAMAL DE DESCARGA OU RAMAL DE ESGOTO SANITÁRIO. AF_12/2014</t>
  </si>
  <si>
    <t>JOELHO 45 GRAUS, PVC, SERIE NORMAL, ESGOTO PREDIAL, DN 100 MM, JUNTA ELÁSTICA, FORNECIDO E INSTALADO EM SUBCOLETOR AÉREO DE ESGOTO SANITÁRIO. AF_12/2014</t>
  </si>
  <si>
    <t>JOELHO 90 GRAUS COM BUCHA DE LATÃO, PVC, SOLDÁVEL, DN 25MM, X 3/4 INSTALADO EM RAMAL OU SUB-RAMAL DE ÁGUA - FORNECIMENTO E INSTALAÇÃO. AF_12/2014</t>
  </si>
  <si>
    <t>JOELHO 90 GRAUS, PVC, SOLDÁVEL, DN 25MM, INSTALADO EM PRUMADA DE ÁGUA - FORNECIMENTO E INSTALAÇÃO. AF_12/2014</t>
  </si>
  <si>
    <t>JOELHO 90 GRAUS, PVC, SOLDÁVEL, DN 25MM, INSTALADO EM RAMAL DE DISTRIBUIÇÃO DE ÁGUA - FORNECIMENTO E INSTALAÇÃO. AF_12/2014</t>
  </si>
  <si>
    <t>JOELHO 90 GRAUS, PVC, SOLDÁVEL, DN 25MM, INSTALADO EM RAMAL OU SUB-RAMAL DE ÁGUA - FORNECIMENTO E INSTALAÇÃO. AF_12/2014</t>
  </si>
  <si>
    <t>JUNÇÃO SIMPLES, PVC, SERIE NORMAL, ESGOTO PREDIAL, DN 100 X 100 MM, JUNTA ELÁSTICA, FORNECIDO E INSTALADO EM PRUMADA DE ESGOTO SANITÁRIO OU VENTILAÇÃO. AF_12/2014</t>
  </si>
  <si>
    <t>JUNÇÃO SIMPLES, PVC, SERIE NORMAL, ESGOTO PREDIAL, DN 100 X 100 MM, JUNTA ELÁSTICA, FORNECIDO E INSTALADO EM RAMAL DE DESCARGA OU RAMAL DE ESGOTO SANITÁRIO. AF_12/2014</t>
  </si>
  <si>
    <t>JUNÇÃO SIMPLES, PVC, SERIE NORMAL, ESGOTO PREDIAL, DN 100 X 100 MM, JUNTA ELÁSTICA, FORNECIDO E INSTALADO EM SUBCOLETOR AÉREO DE ESGOTO SANITÁRIO. AF_12/2014</t>
  </si>
  <si>
    <t>LANÇAMENTO COM USO DE BOMBA, ADENSAMENTO E ACABAMENTO DE CONCRETO EM ESTRUTURAS. AF_12/2015</t>
  </si>
  <si>
    <t>LANÇAMENTO DE CONCRETO SIMPLES FABRICADO NA OBRA, INCLUSIVE ADENSAMENTO E ACABAMENTO EM PEÇAS DA SUPERESTRUTURA</t>
  </si>
  <si>
    <t>LANÇAMENTO DE CONCRETO USINADO, BOMBEADO, EM PEÇAS ARMADAS DA SUPERESTRUTURA, INCLUSIVE COLOCAÇÃO, ADENSAMENTO E ACABAMENTO</t>
  </si>
  <si>
    <t>LASTRO DE AREIA ADQUIRIDA</t>
  </si>
  <si>
    <t>LASTRO DE BRITA</t>
  </si>
  <si>
    <t>LAVATÓRIO COM BANCADA EM GRANITO CINZA ANDORINHA, E = 2CM, DIM 1,50X0,60, COM 02 CUBAS DE EMBUTIR DE LOUÇA, SIFÃO CROMADO, VÁLVULA CROMADA, TORNEIRA CROMADA, INCLUSIVE RODOPIA 10 CM, ASSENTADA</t>
  </si>
  <si>
    <t>LIGAÇÃO PREDIAL DE ÁGUA EM MURETA DE CONCRETO, PROVISÓRIA OU DEFINITIVA, COM FORNECIMENTO DE MATERIAL, INCLUSIVE MURETA E HIDRÔMETRO, REDE DN 50MM</t>
  </si>
  <si>
    <t>LIMPEZA GERAL</t>
  </si>
  <si>
    <t>LIMPEZA MANUAL DE VEGETAÇÃO EM TERRENO COM ENXADA.AF_05/2018</t>
  </si>
  <si>
    <t>LUMINÁRIA COM LAMPADA LED TUBULAR BIVOLT 18/20 W, BASE G13 - REV 01</t>
  </si>
  <si>
    <t>LUVA DE REDUÇÃO, PVC, SOLDÁVEL, DN 32MM X 25MM, INSTALADO EM PRUMADA DE ÁGUA - FORNECIMENTO E INSTALAÇÃO. AF_12/2014</t>
  </si>
  <si>
    <t>LUVA PARA ELETRODUTO DE PVC RÍGIDO ROSCÁVEL, DIÂM = 25MM (3/4")</t>
  </si>
  <si>
    <t>LUVA SIMPLES, PVC, SERIE NORMAL, ESGOTO PREDIAL, DN 100 MM, JUNTA ELÁSTICA, FORNECIDO E INSTALADO EM PRUMADA DE ESGOTO SANITÁRIO OU VENTILAÇÃO. AF_12/2014</t>
  </si>
  <si>
    <t>LUVA SIMPLES, PVC, SERIE NORMAL, ESGOTO PREDIAL, DN 100 MM, JUNTA ELÁSTICA, FORNECIDO E INSTALADO EM RAMAL DE DESCARGA OU RAMAL DE ESGOTO SANITÁRIO. AF_12/2014</t>
  </si>
  <si>
    <t>LUVA SIMPLES, PVC, SERIE NORMAL, ESGOTO PREDIAL, DN 100 MM, JUNTA ELÁSTICA, FORNECIDO E INSTALADO EM SUBCOLETOR AÉREO DE ESGOTO SANITÁRIO. AF_12/2014</t>
  </si>
  <si>
    <t>LUVA, PVC, SOLDÁVEL, DN 25MM, INSTALADO EM PRUMADA DE ÁGUA - FORNECIMENTO E INSTALAÇÃO. AF_12/2014</t>
  </si>
  <si>
    <t>LUVA, PVC, SOLDÁVEL, DN 25MM, INSTALADO EM RAMAL DE DISTRIBUIÇÃO DE ÁGUA - FORNECIMENTO E INSTALAÇÃO. AF_12/2014</t>
  </si>
  <si>
    <t>LUVA, PVC, SOLDÁVEL, DN 25MM, INSTALADO EM RAMAL OU SUB-RAMAL DE ÁGUA - FORNECIMENTO E INSTALAÇÃO. AF_12/2014</t>
  </si>
  <si>
    <t>MARMORISTA/GRANITEIRO COM ENCARGOS COMPLEMENTARES</t>
  </si>
  <si>
    <t>MASSA ÚNICA, PARA RECEBIMENTO DE PINTURA, EM ARGAMASSA TRAÇO 1:2:8, PREPARO MANUAL, APLICADA MANUALMENTE EM FACES INTERNAS DE PAREDES,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</si>
  <si>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</si>
  <si>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MESTRE DE OBRAS COM ENCARGOS COMPLEMENTARES</t>
  </si>
  <si>
    <t>MONTADOR DE ESTRUTURA METÁLICA COM ENCARGOS COMPLEMENTARES</t>
  </si>
  <si>
    <t>MONTAGEM E DESMONTAGEM DE FÔRMA DE LAJE MACIÇA, PÉ-DIREITO SIMPLES, EM CHAPA DE MADEIRA COMPENSADA RESINADA, 2 UTILIZAÇÕES. AF_09/2020</t>
  </si>
  <si>
    <t>MONTAGEM E DESMONTAGEM DE FÔRMA DE LAJE MACIÇA, PÉ-DIREITO SIMPLES, EM CHAPA DE MADEIRA COMPENSADA RESINADA, 8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</si>
  <si>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</si>
  <si>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SIMPLES, EM CHAPA DE MADEIRA COMPENSADA RESINADA, 8 UTILIZAÇÕES. AF_09/2020</t>
  </si>
  <si>
    <t>MONTAGEM E DESMONTAGEM DE FÔRMA DE VIGA, ESCORAMENTO COM GARFO DE MADEIRA, PÉ-DIREITO SIMPLES, EM CHAPA DE MADEIRA RESINADA, 2 UTILIZAÇÕES. AF_09/2020</t>
  </si>
  <si>
    <t>MONTAGEM E DESMONTAGEM DE FÔRMA DE VIGA, ESCORAMENTO COM GARFO DE MADEIRA, PÉ-DIREITO SIMPLES, EM CHAPA DE MADEIRA RESINADA, 8 UTILIZAÇÕES. AF_09/2020</t>
  </si>
  <si>
    <t>MONTAGEM E DESMONTAGEM DE FÔRMA PARA ESCADAS, COM 2 LANCES EM "U" E LAJE PLANA, EM CHAPA DE MADEIRA COMPENSADA PLASTIFICADA, 8 UTILIZAÇÕES. AF_11/2020</t>
  </si>
  <si>
    <t>MOTORISTA DE CAMINHÃO COM ENCARGOS COMPLEMENTARES</t>
  </si>
  <si>
    <t>MURETA PRÉ-MOLDADA PARA LIGAÇÕES DOMICILIARES DE ÁGUA</t>
  </si>
  <si>
    <t>OPERADOR DE BETONEIRA ESTACIONÁRIA/MISTURADOR COM ENCARGOS COMPLEMENTARES</t>
  </si>
  <si>
    <t>OPERADOR DE GUINCHO COM ENCARGOS COMPLEMENTARES</t>
  </si>
  <si>
    <t>OPERADOR DE GUINDASTE COM ENCARGOS COMPLEMENTARES</t>
  </si>
  <si>
    <t>OPERADOR DE MÁQUINAS E EQUIPAMENTOS COM ENCARGOS COMPLEMENTARES</t>
  </si>
  <si>
    <t>PASSANTE TIPO TUBO DE DIÂMETRO MAIOR QUE 75 MM, FIXADO EM LAJE. AF_05/2015</t>
  </si>
  <si>
    <t>PASSANTE TIPO TUBO DE DIÂMETRO MENOR OU IGUAL A 40 MM, FIXADO EM LAJE. AF_05/2015</t>
  </si>
  <si>
    <t>PEDREIRO COM ENCARGOS COMPLEMENTARES</t>
  </si>
  <si>
    <t>PINTOR COM ENCARGOS COMPLEMENTARES</t>
  </si>
  <si>
    <t>PINTURA DE ACABAMENTO COM APLICAÇÃO DE 02 DEMÃOS DE ESMALTE  SINTÉTICO SOBRE SUPERFÍCIES METÁLICAS - R1</t>
  </si>
  <si>
    <t>PONTO DE CONSUMO TERMINAL DE ÁGUA FRIA (SUBRAMAL) COM TUBULAÇÃO DE PVC, DN 25 MM, INSTALADO EM RAMAL DE ÁGUA, INCLUSOS RASGO E CHUMBAMENTO EM ALVENARIA. AF_12/2014</t>
  </si>
  <si>
    <t>PONTO DE ESGOTO COM TUBO DE PVC RÍGIDO SOLDÁVEL DE  Ø 40 MM (LAVATÓRIOS, MICTÓRIOS, RALOS SIFONADOS, ETC...)</t>
  </si>
  <si>
    <t>PONTO DE ESGOTO COM TUBO DE PVC RÍGIDO SOLDÁVEL DE Ø 100 MM (VASO SANITÁRIO)</t>
  </si>
  <si>
    <t>PT</t>
  </si>
  <si>
    <t>PONTO DE TOMADA 3P PARA AR CONDICIONADO ATÉ 3000 VA, COM ELETRODUTO DE PVC FLEXÍVEL SANFONADO EMBUTIDO  Ø 3/4", INCLUINDO CONJUNTO ASTOP/30A-220V, INCLUSIVE ATERRAMENTO</t>
  </si>
  <si>
    <t>PORTA DE ALUMÍNIO C/VIDRO CRISTAL TEMPERADO</t>
  </si>
  <si>
    <t>PORTA EM ALUMÍNIO DE ABRIR TIPO VENEZIANA COM GUARNIÇÃO, FIXAÇÃO COM PARAFUSOS - FORNECIMENTO E INSTALAÇÃO. AF_12/2019</t>
  </si>
  <si>
    <t>PORTA EM CHAPA LISA DE ALUMÍNIO, COR N/P/B, COMUM, DE ABRIR OU CORRER</t>
  </si>
  <si>
    <t>POSTE AUXILIAR P/ENTRADA ENERGIA, MONOFASICO, FERRO GALVANIZADO D=3" E H=5,0M, COMPLETO</t>
  </si>
  <si>
    <t>QUADRO DE DISTRIBUIÇÃO DE EMBUTIR, EM CHAPA DE AÇO, PARA ATÉ 12 DISJUNTORES, COM BARRAMENTO, PADRÃO DIN, EXCLUSIVE DISJUNTORES</t>
  </si>
  <si>
    <t>QUADRO DE MEDIÇÃO MONOFÁSICA (ATÉ 6 KVA) COM CAIXA EM NORIL</t>
  </si>
  <si>
    <t>RALO SIFONADO EM PVC D = 100 MM ALTURA REGULÁVEL, SAÍDA 40 MM, COM GRELHA REDONDA ACABAMENTO CROMADO</t>
  </si>
  <si>
    <t>RASGO EM ALVENARIA PARA RAMAIS/ DISTRIBUIÇÃO COM DIAMETROS MENORES OU IGUAIS A 40 MM. AF_05/2015</t>
  </si>
  <si>
    <t>REATERRO C/COMPACTAÇÃO MANUAL S/CONTROLE, MATERIAL DA VALA</t>
  </si>
  <si>
    <t>REATERRO MANUAL DE VALAS COM ESPALHAMENTO S/ COMPACTAÇÃO</t>
  </si>
  <si>
    <t>REATERRO MANUAL DE VALAS, COM COMPACTAÇÃO UTILIZANDO SÊPO, SEM CONTROLE DO GRAU DE COMPACTAÇÃO</t>
  </si>
  <si>
    <t>REBOCO ESPECIAL DE PAREDE 2CM COM ARGAMASSA TRAÇO T3 - 1:3 CIMENTO / AREIA / VEDACIT</t>
  </si>
  <si>
    <t>REBOCO OU EMBOÇO EXTERNO, DE PAREDE, COM ARGAMASSA TRAÇO T5 - 1:2:8 (CIMENTO / CAL / AREIA), ESPESSURA 2,0 CM</t>
  </si>
  <si>
    <t>RETIRADA DE ENTULHO DA OBRA UTILIZANDO CAIXA COLETORA CAPACIDADE 5 M3 (LOCAL: ARACAJU)</t>
  </si>
  <si>
    <t>REVESTIMENTO CERÂMICO PARA PAREDES INTERNAS COM PLACAS TIPO ESMALTADA PADRÃO POPULAR DE DIMENSÕES 20X20 CM, ARGAMASSA TIPO AC III, APLICADAS EM AMBIENTES DE ÁREA MAIOR QUE 5 M2 A MEIA ALTURA DAS PAREDES.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</si>
  <si>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</si>
  <si>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</si>
  <si>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35X35 CM APLICADA EM AMBIENTES DE ÁREA MENOR QUE 5 M2. AF_06/2014</t>
  </si>
  <si>
    <t>SERRA CIRCULAR DE BANCADA COM MOTOR ELÉTRICO POTÊNCIA DE 5HP, COM COIFA PARA DISCO 10" - CHI DIURNO. AF_08/2015</t>
  </si>
  <si>
    <t>SERRA CIRCULAR DE BANCADA COM MOTOR ELÉTRICO POTÊNCIA DE 5HP, COM COIFA PARA DISCO 10" - CHP DIURNO.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</si>
  <si>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</si>
  <si>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</si>
  <si>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</si>
  <si>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</si>
  <si>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SERVENTE COM ENCARGOS COMPLEMENTARES</t>
  </si>
  <si>
    <t>SERVIÇOS DE SONDAGEM GEOTÉCNICA MISTA EM SOLOS</t>
  </si>
  <si>
    <t>SOLEIRA EM GRANITO, LARGURA 15 CM, ESPESSURA 2,0 CM. AF_09/2020</t>
  </si>
  <si>
    <t>SUPORTE ( RECEPTÁCULO) P/ LÂMPADA FLUORESCENTE</t>
  </si>
  <si>
    <t>SUPORTE PARAFUSADO COM PLACA DE ENCAIXE 4" X 2" MÉDIO (1,30 M DO PISO) PARA PONTO ELÉTRICO - FORNECIMENTO E INSTALAÇÃO. AF_12/2015</t>
  </si>
  <si>
    <t>TÊ COM BUCHA DE LATÃO NA BOLSA CENTRAL, PVC, SOLDÁVEL, DN 25MM X 1/2, INSTALADO EM RAMAL OU SUB-RAMAL DE ÁGUA - FORNECIMENTO E INSTALAÇÃO. AF_12/2014</t>
  </si>
  <si>
    <t>TÊ DE REDUÇÃO, PVC, SOLDÁVEL, DN 32MM X 25MM, INSTALADO EM PRUMADA DE ÁGUA - FORNECIMENTO E INSTALAÇÃO. AF_12/2014</t>
  </si>
  <si>
    <t>TÊ DE REDUÇÃO, PVC, SOLDÁVEL, DN 32MM X 25MM, INSTALADO EM RAMAL DE DISTRIBUIÇÃO DE ÁGUA - FORNECIMENTO E INSTALAÇÃO. AF_12/2014</t>
  </si>
  <si>
    <t>TÊ DE REDUÇÃO, PVC, SOLDÁVEL, DN 32MM X 25MM, INSTALADO EM RAMAL OU SUB-RAMAL DE ÁGUA - FORNECIMENTO E INSTALAÇÃO. AF_12/2014</t>
  </si>
  <si>
    <t>TÊ DE REDUÇÃO, PVC, SOLDÁVEL, DN 50MM X 25MM, INSTALADO EM PRUMADA DE ÁGUA - FORNECIMENTO E INSTALAÇÃO. AF_12/2014</t>
  </si>
  <si>
    <t>TE, PVC, SERIE NORMAL, ESGOTO PREDIAL, DN 100 X 100 MM, JUNTA ELÁSTICA, FORNECIDO E INSTALADO EM PRUMADA DE ESGOTO SANITÁRIO OU VENTILAÇÃO. AF_12/2014</t>
  </si>
  <si>
    <t>TE, PVC, SERIE NORMAL, ESGOTO PREDIAL, DN 100 X 100 MM, JUNTA ELÁSTICA, FORNECIDO E INSTALADO EM RAMAL DE DESCARGA OU RAMAL DE ESGOTO SANITÁRIO. AF_12/2014</t>
  </si>
  <si>
    <t>TE, PVC, SOLDÁVEL, DN 25MM, INSTALADO EM RAMAL DE DISTRIBUIÇÃO DE ÁGUA - FORNECIMENTO E INSTALAÇÃO. AF_12/2014</t>
  </si>
  <si>
    <t>TE, PVC, SOLDÁVEL, DN 25MM, INSTALADO EM RAMAL OU SUB-RAMAL DE ÁGUA - FORNECIMENTO E INSTALAÇÃO. AF_12/2014</t>
  </si>
  <si>
    <t>TELHADISTA COM ENCARGOS COMPLEMENTARES</t>
  </si>
  <si>
    <t>TELHAMENTO COM TELHA CERÂMICA CAPA-CANAL, TIPO COLONIAL, COM MAIS DE 2 ÁGUAS, INCLUSO TRANSPORTE VERTICAL. AF_07/2019</t>
  </si>
  <si>
    <t>TERMINAL DE COMPRESSÃO PARA CABO DE   6 MM2 - FORNECIMENTO E INSTALAÇÃO</t>
  </si>
  <si>
    <t>TOMADA BAIXA DE EMBUTIR (2 MÓDULOS), 2P+T 10 A, INCLUINDO SUPORTE E PLACA - FORNECIMENTO E INSTALAÇÃO. AF_12/2015</t>
  </si>
  <si>
    <t>TOMADA BAIXA DE EMBUTIR (2 MÓDULOS), 2P+T 10 A, SEM SUPORTE E SEM PLACA - FORNECIMENTO E INSTALAÇÃO. AF_12/2015</t>
  </si>
  <si>
    <t>TRAMA DE MADEIRA COMPOSTA POR RIPAS, CAIBROS E TERÇAS PARA TELHADOS DE ATÉ 2 ÁGUAS PARA TELHA CERÂMICA CAPA-CANAL, INCLUSO TRANSPORTE VERTICAL. AF_07/2019</t>
  </si>
  <si>
    <t>TUBO PVC BRANCO P/ESGOTO D=100MM (4')</t>
  </si>
  <si>
    <t>TUBO PVC, SERIE NORMAL, ESGOTO PREDIAL, DN 100 MM, FORNECIDO E INSTALADO EM PRUMADA DE ESGOTO SANITÁRIO OU VENTILAÇÃO. AF_12/2014</t>
  </si>
  <si>
    <t>TUBO PVC, SERIE NORMAL, ESGOTO PREDIAL, DN 100 MM, FORNECIDO E INSTALADO EM RAMAL DE DESCARGA OU RAMAL DE ESGOTO SANITÁRIO. AF_12/2014</t>
  </si>
  <si>
    <t>TUBO PVC, SERIE NORMAL, ESGOTO PREDIAL, DN 100 MM, FORNECIDO E INSTALADO EM SUBCOLETOR AÉREO DE ESGOTO SANITÁRIO. AF_12/2014</t>
  </si>
  <si>
    <t>TUBO, PVC, SOLDÁVEL, DN 25MM, INSTALADO EM PRUMADA DE ÁGUA - FORNECIMENTO E INSTALAÇÃO. AF_12/2014</t>
  </si>
  <si>
    <t>TUBO, PVC, SOLDÁVEL, DN 25MM, INSTALADO EM RAMAL DE DISTRIBUIÇÃO DE ÁGUA - FORNECIMENTO E INSTALAÇÃO. AF_12/2014</t>
  </si>
  <si>
    <t>TUBO, PVC, SOLDÁVEL, DN 25MM, INSTALADO EM RAMAL OU SUB-RAMAL DE ÁGUA - FORNECIMENTO E INSTALAÇÃO. AF_12/2014</t>
  </si>
  <si>
    <t>VASO SANITÁRIO SIFONADO COM CAIXA ACOPLADA LOUÇA BRANCA - FORNECIMENTO E INSTALAÇÃO. AF_01/2020</t>
  </si>
  <si>
    <t>VIBRADOR DE IMERSÃO, DIÂMETRO DE PONTEIRA 45MM, MOTOR ELÉTRICO TRIFÁSICO POTÊNCIA DE 2 CV - CHI DIURNO. AF_06/2015</t>
  </si>
  <si>
    <t>VIBRADOR DE IMERSÃO, DIÂMETRO DE PONTEIRA 45MM, MOTOR ELÉTRICO TRIFÁSICO POTÊNCIA DE 2 CV - CHP DIURNO. AF_06/2015</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</si>
  <si>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</si>
  <si>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</si>
  <si>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</si>
  <si>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</si>
  <si>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ABRACADEIRA EM ACO PARA AMARRACAO DE ELETRODUTOS, TIPO D, COM 1/2" E PARAFUSO DE FIXACAO</t>
  </si>
  <si>
    <t>AÇO CA-50   6,3 A 12,5 MM</t>
  </si>
  <si>
    <t>ACO CA-50, 10,0 MM, VERGALHAO</t>
  </si>
  <si>
    <t>ACO CA-50, 12,5 MM OU 16,0 MM, VERGALHAO</t>
  </si>
  <si>
    <t>ACO CA-50, 20,0 MM OU 25,0 MM, VERGALHAO</t>
  </si>
  <si>
    <t>ACO CA-50, 6,3 MM, VERGALHAO</t>
  </si>
  <si>
    <t>ACO CA-50, 8,0 MM, VERGALHAO</t>
  </si>
  <si>
    <t>AÇO CA-60   4,2 A 9,5 MM</t>
  </si>
  <si>
    <t>ACO CA-60, 4,2 MM, OU 5,0 MM, OU 6,0 MM, OU 7,0 MM, VERGALHAO</t>
  </si>
  <si>
    <t>ADAPTADOR PEAD 20MM X  1/2"</t>
  </si>
  <si>
    <t>ADAPTADOR PVC SOLDAVEL CURTO COM BOLSA E ROSCA, 25 MM X 3/4", PARA AGUA FRIA</t>
  </si>
  <si>
    <t>ADAPTADOR PVC SOLDAVEL, COM FLANGE E ANEL DE VEDACAO, 20 MM X 1/2", PARA CAIXA D'AGUA</t>
  </si>
  <si>
    <t>ADAPTADOR PVC SOLDAVEL, COM FLANGE E ANEL DE VEDACAO, 25 MM X 3/4", PARA CAIXA D'AGUA</t>
  </si>
  <si>
    <t>ADAPTADOR PVC SOLDAVEL, COM FLANGE E ANEL DE VEDACAO, 50 MM X 1 1/2", PARA CAIXA D'AGUA</t>
  </si>
  <si>
    <t>ADESIVO PARA TUBO DE PVC RIGIDO</t>
  </si>
  <si>
    <t>ADESIVO PLASTICO PARA PVC, FRASCO COM 850 GR</t>
  </si>
  <si>
    <t>ADESIVO PVC EM FRASCO DE 850 GRAMAS</t>
  </si>
  <si>
    <t>AJUDANTE DE ARMADOR</t>
  </si>
  <si>
    <t>AJUDANTE DE ELETRICISTA</t>
  </si>
  <si>
    <t>AJUDANTE DE ENCANADOR</t>
  </si>
  <si>
    <t>AJUDANTE ESPECIALIZADO</t>
  </si>
  <si>
    <t>ALICATE COM ISOLAMENTO</t>
  </si>
  <si>
    <t>ALICATE DE COMPRESSÃO PARA TERMINAIS DE COMPRESSÃO DE CABOS COM SEÇÃO ATÉ 120MM2</t>
  </si>
  <si>
    <t>ALICATE VOLT-AMPERIMETRO</t>
  </si>
  <si>
    <t>ALIMENTACAO - HORISTA (COLETADO CAIXA)</t>
  </si>
  <si>
    <t>ALMOÇO (PARTICIPAÇÃO DO EMPREGADOR)</t>
  </si>
  <si>
    <t>ANEL BORRACHA PARA TUBO ESGOTO PREDIAL, DN 100 MM (NBR 5688)</t>
  </si>
  <si>
    <t>ANEL PRE-MOLDADO DE CONCRETO D=1,20M, h=0,50M</t>
  </si>
  <si>
    <t>ARAME GALVANIZADO 12 BWG, D = 2,76 MM (0,048 KG/M) OU 14 BWG, D = 2,11 MM (0,026 KG/M)</t>
  </si>
  <si>
    <t>ARAME GALVANIZADO 6 BWG, D = 5,16 MM (0,157 KG/M), OU 8 BWG, D = 4,19 MM (0,101 KG/M), OU 10 BWG, D = 3,40 MM (0,0713 KG/M)</t>
  </si>
  <si>
    <t>ARAME RECOZIDO 16 BWG, D = 1,65 MM (0,016 KG/M) OU 18 BWG, D = 1,25 MM (0,01 KG/M)</t>
  </si>
  <si>
    <t>ARCO DE SERRA</t>
  </si>
  <si>
    <t>AREIA GROSSA</t>
  </si>
  <si>
    <t>AREIA GROSSA - POSTO JAZIDA/FORNECEDOR (RETIRADO NA JAZIDA, SEM TRANSPORTE)</t>
  </si>
  <si>
    <t>AREIA MEDIA</t>
  </si>
  <si>
    <t>AREIA MEDIA - POSTO JAZIDA/FORNECEDOR (RETIRADO NA JAZIDA, SEM TRANSPORTE)</t>
  </si>
  <si>
    <t>ARGAMASSA COLANTE AC I PARA CERAMICAS</t>
  </si>
  <si>
    <t>ARGAMASSA COLANTE TIPO AC III</t>
  </si>
  <si>
    <t>ARGILA, ARGILA VERMELHA OU ARGILA ARENOSA (RETIRADA NA JAZIDA, SEM TRANSPORTE)</t>
  </si>
  <si>
    <t>ARMADOR</t>
  </si>
  <si>
    <t>ARRUELA DE ALUMÍNIO P/ELETRODUTO D= 3/4"</t>
  </si>
  <si>
    <t>AUXILIAR DE ENCANADOR OU BOMBEIRO HIDRAULICO</t>
  </si>
  <si>
    <t>AZULEJISTA OU LADRILHEIRO</t>
  </si>
  <si>
    <t>BACIA SANITARIA (VASO) COM CAIXA ACOPLADA, DE LOUCA BRANCA</t>
  </si>
  <si>
    <t>BETONEIRA CAPACIDADE NOMINAL 400 L, CAPACIDADE DE MISTURA  280 L, MOTOR ELETRICO TRIFASICO 220/380 V POTENCIA 2 CV, SEM CARREGADOR</t>
  </si>
  <si>
    <t>BETONEIRA, CAPACIDADE NOMINAL 600 L, CAPACIDADE DE MISTURA  360L, MOTOR ELETRICO TRIFASICO 220/380V, POTENCIA 4CV, EXCLUSO CARREGADOR</t>
  </si>
  <si>
    <t>BLOCO CERAMICO VAZADO PARA ALVENARIA DE VEDACAO, 6 FUROS, DE 9 X 14 X 19 CM (L X A X C)</t>
  </si>
  <si>
    <t>BOTA DE SEGURANCA COM BIQUEIRA DE ACO E COLARINHO ACOLCHOADO</t>
  </si>
  <si>
    <t>PAR</t>
  </si>
  <si>
    <t>BRACO OU HASTE COM CANOPLA PLASTICA, 1/2 ", PARA CHUVEIRO SIMPLES</t>
  </si>
  <si>
    <t>BRAQUETE MONOFÁSICO</t>
  </si>
  <si>
    <t>BRITA</t>
  </si>
  <si>
    <t>BUCHA DE NYLON SEM ABA S10, COM PARAFUSO DE 6,10 X 65 MM EM ACO ZINCADO COM ROSCA SOBERBA, CABECA CHATA E FENDA PHILLIPS</t>
  </si>
  <si>
    <t>BUCHA DE NYLON, DIAMETRO DO FURO 8 MM, COMPRIMENTO 40 MM, COM PARAFUSO DE ROSCA SOBERBA, CABECA CHATA, FENDA SIMPLES, 4,8 X 50 MM</t>
  </si>
  <si>
    <t>BUCHA EM ALUMINIO, COM ROSCA, DE 3/4", PARA ELETRODUTO</t>
  </si>
  <si>
    <t>CABO DE COBRE ISOLADO EPR  OU XLPE),   6,0MM²,  0,6/1KV / 90º C</t>
  </si>
  <si>
    <t>CABO DE COBRE NÚ 10 MM2 - CLASSE 2A</t>
  </si>
  <si>
    <t>CABO DE COBRE, FLEXIVEL, CLASSE 4 OU 5, ISOLACAO EM PVC/A, ANTICHAMA BWF-B, 1 CONDUTOR, 450/750 V, SECAO NOMINAL 4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</si>
  <si>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</si>
  <si>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6 MM2</t>
  </si>
  <si>
    <t>CAIBRO NAO APARELHADO *5 X 6* CM, EM MACARANDUBA, ANGELIM OU EQUIVALENTE DA REGIAO -  BRUTA</t>
  </si>
  <si>
    <t>CAIBRO NAO APARELHADO,  *6 X 8* CM,  EM MACARANDUBA, ANGELIM OU EQUIVALENTE DA REGIAO -  BRUTA</t>
  </si>
  <si>
    <t>CAIXA D'AGUA DE POLIETILENO ALTA DENSIDADE, CILINDRICA, 500 LITROS</t>
  </si>
  <si>
    <t>CAIXA DE MEDICAO MONOFÁSICA, EM NORIL (POLICARBONATO)</t>
  </si>
  <si>
    <t>CAIXA PLÁSTICA PARA PROTEÇÃO DE HIDRÔMETRO C/TAMPA ARTICULADA EM POLICARBONATO</t>
  </si>
  <si>
    <t>CAL HIDRATADA CH-I PARA ARGAMASSAS</t>
  </si>
  <si>
    <t>CAMINHAO TRUCADO, PESO BRUTO TOTAL 23000 KG, CARGA UTIL MAXIMA 15935 KG, DISTANCIA ENTRE EIXOS 4,80 M, POTENCIA 230 CV (INCLUI CABINE E CHASSI, NAO INCLUI CARROCERIA)</t>
  </si>
  <si>
    <t>CAPA PARA CHUVA EM PVC COM FORRO DE POLIESTER, COM CAPUZ (AMARELA OU AZUL)</t>
  </si>
  <si>
    <t>CAPACETE DE SEGURANCA ABA FRONTAL COM SUSPENSAO DE POLIETILENO, SEM JUGULAR (CLASSE B)</t>
  </si>
  <si>
    <t>CARPINTEIRO AUXILIAR</t>
  </si>
  <si>
    <t>CARPINTEIRO DE FORMAS</t>
  </si>
  <si>
    <t>CARRINHO DE MAO DE ACO CAPACIDADE 50 A 60 L, PNEU COM CAMARA</t>
  </si>
  <si>
    <t>CESTA BÁSICA</t>
  </si>
  <si>
    <t>CHAPA DE MADEIRA COMPENSADA PLASTIFICADA PARA FORMA DE CONCRETO, DE 2,20 X 1,10 M, E = 12 MM</t>
  </si>
  <si>
    <t>CHAPA DE MADEIRA COMPENSADA PLASTIFICADA PARA FORMA DE CONCRETO, DE 2,20 x 1,10 M, E = 18 MM</t>
  </si>
  <si>
    <t>CHAPA DE MADEIRA COMPENSADA RESINADA PARA FORMA DE CONCRETO, DE *2,2 X 1,1* M, E = 17 MM</t>
  </si>
  <si>
    <t>CHAPA PARA EMENDA DE VIGA, EM ACO GROSSO, QUALIDADE ESTRUTURAL, BITOLA 3/16 ", E= 4,75 MM, 4 FUROS, LARGURA 45 MM, COMPRIMENTO 500 MM</t>
  </si>
  <si>
    <t>CHAVE DE FENDA CHATA 30 CM</t>
  </si>
  <si>
    <t>CHAVE INGLESA 12"</t>
  </si>
  <si>
    <t>CHUVEIRO PLASTICO BRANCO SIMPLES 5 " PARA ACOPLAR EM HASTE 1/2 ", AGUA FRIA</t>
  </si>
  <si>
    <t>CIMENTO PORTLAND</t>
  </si>
  <si>
    <t>CIMENTO PORTLAND COMPOSTO CP II-32</t>
  </si>
  <si>
    <t>COLAR DE TOMADA EM PVC COM TRAVAS E SAÍDA ROSCÁVEL DE =   60MM X  1/2"</t>
  </si>
  <si>
    <t>COLHER DE PEDREIRO</t>
  </si>
  <si>
    <t>COMPACTADOR DE SOLOS DE PERCURSAO (SOQUETE) COM MOTOR A GASOLINA 4 TEMPOS DE 4 HP (4 CV)</t>
  </si>
  <si>
    <t>COMPENSADO RESINADO 12MM - MADEIRIT OU SIMILAR</t>
  </si>
  <si>
    <t>CONCRETO USINADO BOMBEAVEL, CLASSE DE RESISTENCIA C20, COM BRITA 0 E 1, SLUMP = 100 +/- 20 MM, EXCLUI SERVICO DE BOMBEAMENTO (NBR 8953)</t>
  </si>
  <si>
    <t>CONCRETO USINADO BOMBEAVEL, CLASSE DE RESISTENCIA C25, COM BRITA 0 E 1, SLUMP = 100 +/- 20 MM, INCLUI SERVICO DE BOMBEAMENTO (NBR 8953)</t>
  </si>
  <si>
    <t>CONECTOR P/ HASTE DE ATERRAMENTO 3/4"</t>
  </si>
  <si>
    <t>CONECTOR P/ HASTE DE ATERRAMENTO 5/8"</t>
  </si>
  <si>
    <t>CUBA DE EMBUTIR BRANCA ( DECA - CARRARA - REF. L-36 OU SIMILAR)</t>
  </si>
  <si>
    <t>CURVA 90 GRAUS, LONGA, DE PVC RIGIDO ROSCAVEL, DE 3/4", PARA ELETRODUTO</t>
  </si>
  <si>
    <t>CURVA PVC CURTA 90 GRAUS, 100 MM, PARA ESGOTO PREDIAL</t>
  </si>
  <si>
    <t>DESEMPENADEIRA DE AÇO LISA, CABO MADEIRA, REF:143, ATLAS OU SIMILAR</t>
  </si>
  <si>
    <t>DESEMPOLADEIRA DE MADEIRA 12X22</t>
  </si>
  <si>
    <t>DESMOLDANTE PROTETOR PARA FORMAS DE MADEIRA, DE BASE OLEOSA EMULSIONADA EM AGUA</t>
  </si>
  <si>
    <t>DISJUNTOR MONOPOLAR 32 A, PADRÃO DIN (LINHA BRANCA), CURVA DE DISPARO C, CORRENTE DE INTERRUPÇÃO 5KA, REF.: SIEMENS 5 SX1 OU SIMILAR.</t>
  </si>
  <si>
    <t>DISJUNTOR MONOPOLAR DR 25 A, DISPOSITIVO RESIDUAL DIFERENCIAL</t>
  </si>
  <si>
    <t>DISJUNTOR TIPO DIN/IEC, MONOPOLAR DE 6  ATE  32A</t>
  </si>
  <si>
    <t>DISJUNTOR TIPO NEMA, MONOPOLAR 10 ATE 30A, TENSAO MAXIMA DE 240 V</t>
  </si>
  <si>
    <t>DISPOSITIVO DE PROTEÇÃO CONTRA SURTO DE TENSÃO DPS 40KA - 175V (PARA-RAIO)</t>
  </si>
  <si>
    <t>ELETRICISTA</t>
  </si>
  <si>
    <t>ELETRODUTO CONDULETE PVC RÍGIDO, D= 3/4"</t>
  </si>
  <si>
    <t>ELETRODUTO DE PVC RIGIDO ROSCAVEL DE 3/4 ", SEM LUVA</t>
  </si>
  <si>
    <t>ELETRODUTO PVC FLEXIVEL CORRUGADO, COR AMARELA, DE 25 MM</t>
  </si>
  <si>
    <t>ENCANADOR</t>
  </si>
  <si>
    <t>ENCANADOR OU BOMBEIRO HIDRAULICO</t>
  </si>
  <si>
    <t>ENCARREGADO GERAL DE OBRAS</t>
  </si>
  <si>
    <t>ENERGIA ELETRICA ATE 2000 KWH INDUSTRIAL, SEM DEMANDA</t>
  </si>
  <si>
    <t>KW/H</t>
  </si>
  <si>
    <t>ENGATE / RABICHO FLEXIVEL INOX 1/2 " X 30 CM</t>
  </si>
  <si>
    <t>ENGENHEIRO CIVIL DE OBRA JUNIOR</t>
  </si>
  <si>
    <t>EPI - FAMILIA CARPINTEIRO DE FORMAS - HORISTA (ENCARGOS COMPLEMENTARES - COLETADO CAIXA)</t>
  </si>
  <si>
    <t>EPI - FAMILIA ELETRICISTA - HORISTA (ENCARGOS COMPLEMENTARES - COLETADO CAIXA)</t>
  </si>
  <si>
    <t>EPI - FAMILIA ENCANADOR - HORISTA (ENCARGOS COMPLEMENTARES - COLETADO CAIXA)</t>
  </si>
  <si>
    <t>EPI - FAMILIA ENCARREGADO GERAL - HORISTA (ENCARGOS COMPLEMENTARES - COLETADO CAIXA)</t>
  </si>
  <si>
    <t>EPI - FAMILIA ENGENHEIRO CIVIL - HORISTA (ENCARGOS COMPLEMENTARES - COLETADO CAIXA)</t>
  </si>
  <si>
    <t>EPI - FAMILIA OPERADOR ESCAVADEIRA - HORISTA (ENCARGOS COMPLEMENTARES - COLETADO CAIXA)</t>
  </si>
  <si>
    <t>EPI - FAMILIA PEDREIRO - HORISTA (ENCARGOS COMPLEMENTARES - COLETADO CAIXA)</t>
  </si>
  <si>
    <t>EPI - FAMILIA PINTOR - HORISTA (ENCARGOS COMPLEMENTARES - COLETADO CAIXA)</t>
  </si>
  <si>
    <t>EPI - FAMILIA SERVENTE - HORISTA (ENCARGOS COMPLEMENTARES - COLETADO CAIXA)</t>
  </si>
  <si>
    <t>ESCADA DE ALUMINIO DE ABRIR COM 7 DEGRAUS</t>
  </si>
  <si>
    <t>ESCALA MÉTRICA DE BAMBÚ</t>
  </si>
  <si>
    <t>ESPACADOR / DISTANCIADOR CIRCULAR COM ENTRADA LATERAL, EM PLASTICO, PARA VERGALHAO *4,2 A 12,5* MM, COBRIMENTO 20 MM</t>
  </si>
  <si>
    <t>ESPACADOR / DISTANCIADOR TIPO GARRA DUPLA, EM PLASTICO, COBRIMENTO *20* MM, PARA FERRAGENS DE LAJES E FUNDO DE VIGAS</t>
  </si>
  <si>
    <t>ESPÁTULA</t>
  </si>
  <si>
    <t>ESPELHO / PLACA DE 3 POSTOS 4" X 2", PARA INSTALACAO DE TOMADAS E INTERRUPTORES</t>
  </si>
  <si>
    <t>ESTOPA</t>
  </si>
  <si>
    <t>ESTRIBO COM PARAFUSO EM CHAPA DE FERRO FUNDIDO DE 2" X 3/16" X 35 CM, SECAO "U", PARA MADEIRAMENTO DE TELHADO</t>
  </si>
  <si>
    <t>EXAMES - HORISTA (COLETADO CAIXA)</t>
  </si>
  <si>
    <t>EXAMES ADMISSIONAIS/DEMISSIONAIS (CHECKUP)</t>
  </si>
  <si>
    <t>CJ</t>
  </si>
  <si>
    <t>FARDAMENTO</t>
  </si>
  <si>
    <t>FERRAMENTAS - FAMILIA CARPINTEIRO DE FORMAS - HORISTA (ENCARGOS COMPLEMENTARES - COLETADO CAIXA)</t>
  </si>
  <si>
    <t>FERRAMENTAS - FAMILIA ELETRICISTA - HORISTA (ENCARGOS COMPLEMENTARES - COLETADO CAIXA)</t>
  </si>
  <si>
    <t>FERRAMENTAS - FAMILIA ENCANADOR - HORISTA (ENCARGOS COMPLEMENTARES - COLETADO CAIXA)</t>
  </si>
  <si>
    <t>FERRAMENTAS - FAMILIA ENCARREGADO GERAL - HORISTA (ENCARGOS COMPLEMENTARES - COLETADO CAIXA)</t>
  </si>
  <si>
    <t>FERRAMENTAS - FAMILIA ENGENHEIRO CIVIL - HORISTA (ENCARGOS COMPLEMENTARES - COLETADO CAIXA)</t>
  </si>
  <si>
    <t>FERRAMENTAS - FAMILIA OPERADOR ESCAVADEIRA - HORISTA (ENCARGOS COMPLEMENTARES - COLETADO CAIXA)</t>
  </si>
  <si>
    <t>FERRAMENTAS - FAMILIA PEDREIRO - HORISTA (ENCARGOS COMPLEMENTARES - COLETADO CAIXA)</t>
  </si>
  <si>
    <t>FERRAMENTAS - FAMILIA PINTOR - HORISTA (ENCARGOS COMPLEMENTARES - COLETADO CAIXA)</t>
  </si>
  <si>
    <t>FERRAMENTAS - FAMILIA SERVENTE - HORISTA (ENCARGOS COMPLEMENTARES - COLETADO CAIXA)</t>
  </si>
  <si>
    <t>FIO DE COBRE NU TIPO CORDOALHA PARA ATERRAMENTO - 10MM2</t>
  </si>
  <si>
    <t>FIO DE COBRE, SOLIDO, CLASSE 1, ISOLACAO EM PVC/A, ANTICHAMA BWF-B, 450/750V, SECAO NOMINAL 4 MM2</t>
  </si>
  <si>
    <t>FIO DE COBRE, SOLIDO, CLASSE 1, ISOLACAO EM PVC/A, ANTICHAMA BWF-B, 450/750V, SECAO NOMINAL 6 MM2</t>
  </si>
  <si>
    <t>FITA ISOLANTE ADESIVA ANTICHAMA, USO ATE 750 V, EM ROLO DE 19 MM X 20 M</t>
  </si>
  <si>
    <t>FITA ISOLANTE ADESIVA ANTICHAMA, USO ATE 750 V, EM ROLO DE 19 MM X 5 M</t>
  </si>
  <si>
    <t>FITA METALICA PERFURADA, L = *18* MM, ROLO DE 30 M, CARGA RECOMENDADA = *30* KGF</t>
  </si>
  <si>
    <t>FITA VEDA ROSCA 18MM</t>
  </si>
  <si>
    <t>FITA VEDACAO TEFLON LARG= 1/2"</t>
  </si>
  <si>
    <t>FORMÃO GRANDE</t>
  </si>
  <si>
    <t>FORRO DE PVC, FRISADO, BRANCO, REGUA DE 20 CM, ESPESSURA DE 8 MM A 10 MM E COMPRIMENTO 6 M (SEM COLOCACAO)</t>
  </si>
  <si>
    <t>FURADEIRA E PARAFUSADEIRA ELETRICA BOSCH OU SIMILAR PROFISSIONAL</t>
  </si>
  <si>
    <t>FURO EM BANCADA DE MÁRMORE OU GRANITO PARA COLACAÇÃO DE TORNEIRA OU VÁLVULA</t>
  </si>
  <si>
    <t>GASOLINA COMUM</t>
  </si>
  <si>
    <t>GRADE DE PROTEÇÃO C/ BARRA REDONDA FERRO 5/8"</t>
  </si>
  <si>
    <t>GRANITO CINZA ANDORINHA, BIPOLIDO, E=2CM PARA DIVISÓRIA</t>
  </si>
  <si>
    <t>GUARNICAO/MOLDURA DE ACABAMENTO PARA ESQUADRIA DE ALUMINIO ANODIZADO NATURAL, PARA 1 FACE</t>
  </si>
  <si>
    <t>GUINCHO ELETRICO DE COLUNA, CAPACIDADE 400 KG, COM MOTO FREIO, MOTOR TRIFASICO DE 1,25 CV</t>
  </si>
  <si>
    <t>GUINDASTE HIDRAULICO AUTOPROPELIDO, COM LANCA TELESCOPICA 40 M, CAPACIDADE MAXIMA 60 T, POTENCIA 260 KW, TRACAO 6 X 6</t>
  </si>
  <si>
    <t>HASTE COBREADA COPPERWELD P/ ATERRAMENTO 254 MICR D= 5/8" X 2,40 M</t>
  </si>
  <si>
    <t>HASTE COBREADA COPPERWELD P/ATERRAMENTO D=  5/8" X 2,40M, EXCLUSO CONECTOR</t>
  </si>
  <si>
    <t>HIDROMETRO UNIJATO, VAZAO MAXIMA DE 3,0 M3/H, DE 1/2"</t>
  </si>
  <si>
    <t>IMPERMEABILIZADOR</t>
  </si>
  <si>
    <t>IMPERMEABILIZANTE PARA CONCRETOS E ARGAMASSAS VEDACIT OU SIMILAR</t>
  </si>
  <si>
    <t>INTERRUPTOR PARALELO 10A, 250V (APENAS MODULO)</t>
  </si>
  <si>
    <t>INTERRUPTOR SIMPLES 10A, 250V (APENAS MODULO)</t>
  </si>
  <si>
    <t>ISOLADOR DE PORCELANA, TIPO ROLDANA, DIMENSOES DE *72* X *72* MM, PARA USO EM BAIXA TENSAO</t>
  </si>
  <si>
    <t>JANELA EM FERRO, TIPO BASCULANTE, TRADICIONAL FIXO E MÓVEL</t>
  </si>
  <si>
    <t>JARDINEIRO</t>
  </si>
  <si>
    <t>JOELHO 90° PVC RIGIDO ROSCAVEL C/BUCHA LATAO,  D= 1/2"</t>
  </si>
  <si>
    <t>JOELHO PVC, SOLDAVEL, 90 GRAUS, 25 MM, PARA AGUA FRIA PREDIAL</t>
  </si>
  <si>
    <t>JOELHO PVC, SOLDAVEL, BB, 45 GRAUS, DN 40 MM, PARA ESGOTO PREDIAL</t>
  </si>
  <si>
    <t>JOELHO PVC, SOLDAVEL, BB, 90 GRAUS, DN 40 MM, PARA ESGOTO PREDIAL</t>
  </si>
  <si>
    <t>JOELHO PVC, SOLDAVEL, COM BUCHA DE LATAO, 90 GRAUS, 25 MM X 3/4", PARA AGUA FRIA PREDIAL</t>
  </si>
  <si>
    <t>JOELHO PVC, SOLDAVEL, PB, 45 GRAUS, DN 100 MM, PARA ESGOTO PREDIAL</t>
  </si>
  <si>
    <t>JOELHO PVC, SOLDAVEL, PB, 90 GRAUS, DN 100 MM, PARA ESGOTO PREDIAL</t>
  </si>
  <si>
    <t>JUNCAO DE REDUCAO INVERTIDA, PVC SOLDAVEL, 100 X 50 MM, SERIE NORMAL PARA ESGOTO PREDIAL</t>
  </si>
  <si>
    <t>JUNCAO SIMPLES, PVC, 45 GRAUS, DN 100 X 100 MM, SERIE NORMAL PARA ESGOTO PREDIAL</t>
  </si>
  <si>
    <t>KIT DE PROTECAO ARSTOP PARA AR CONDICIONADO, TOMADA PADRAO 2P+T 20 A, COM DISJUNTOR UNIPOLAR DIN 20A</t>
  </si>
  <si>
    <t>LACRE ANTI-FRAUDE PARA HIDRÔMETRO EM POLIPROPILENO</t>
  </si>
  <si>
    <t>LAJE DE FUNDO P/ FOSSA DE D=1,20M, E=0,10M</t>
  </si>
  <si>
    <t>LAMPADA LED TUBULAR BIVOLT 18/20 W, BASE G13</t>
  </si>
  <si>
    <t>LIMA CHATA 12"</t>
  </si>
  <si>
    <t>LIXA D'AGUA EM FOLHA, GRAO 100</t>
  </si>
  <si>
    <t>LIXA EM FOLHA PARA FERRO, NUMERO 150</t>
  </si>
  <si>
    <t>LIXA EM FOLHA PARA PAREDE OU MADEIRA, NUMERO 120 (COR VERMELHA)</t>
  </si>
  <si>
    <t>LOCACAO DE APRUMADOR METALICO DE PILAR, COM ALTURA E ANGULO REGULAVEIS, EXTENSAO DE *1,50* A *2,80* M</t>
  </si>
  <si>
    <t>MES</t>
  </si>
  <si>
    <t>LOCACAO DE BARRA DE ANCORAGEM DE 0,80 A 1,20 M DE EXTENSAO, COM ROSCA DE 5/8", INCLUINDO PORCA E FLANGE</t>
  </si>
  <si>
    <t>LOCAÇÃO DE CAIXA COLETORA DE ENTULHO CAPACIDADE 5 M³ (LOCAL: ARACAJU)</t>
  </si>
  <si>
    <t>LOCACAO DE ESCORA METALICA TELESCOPICA, COM ALTURA REGULAVEL DE *1,80* A *3,20* M, COM CAPACIDADE DE CARGA DE NO MINIMO 1000 KGF (10 KN), INCLUSO TRIPE E FORCADO</t>
  </si>
  <si>
    <t>LOCACAO DE VIGA SANDUICHE METALICA VAZADA PARA TRAVAMENTO DE PILARES, ALTURA DE *8* CM, LARGURA DE *6* CM E EXTENSAO DE 2 M</t>
  </si>
  <si>
    <t>LONA PLASTICA PESADA PRETA, E = 150 MICRA</t>
  </si>
  <si>
    <t>LUMINÁRIA (CALHA) P/  LAMPADA FLUORESCENTE 1 X 40W/TUBULAR LED 18W A 20W</t>
  </si>
  <si>
    <t>LUVA DE REDUCAO SOLDAVEL, PVC, 32 MM X 25 MM, PARA AGUA FRIA PREDIAL</t>
  </si>
  <si>
    <t>LUVA EM PVC RIGIDO ROSCAVEL, DE 3/4", PARA ELETRODUTO</t>
  </si>
  <si>
    <t>LUVA PVC SOLDAVEL, 25 MM, PARA AGUA FRIA PREDIAL</t>
  </si>
  <si>
    <t>LUVA RASPA DE COURO, CANO CURTO (PUNHO *7* CM)</t>
  </si>
  <si>
    <t>LUVA SIMPLES, PVC, SOLDAVEL, DN 100 MM, SERIE NORMAL, PARA ESGOTO PREDIAL</t>
  </si>
  <si>
    <t>MADEIRA MISTA SERRADA (BARROTE) 6 X 6CM - 0,0036 M3/M (ANGELIM, LOURO)</t>
  </si>
  <si>
    <t>MANTA LIQUIDA DE BASE ASFALTICA MODIFICADA COM A ADICAO DE ELASTOMEROS DILUIDOS EM SOLVENTE ORGANICO, APLICACAO A FRIO (MEMBRANA IMPERMEABILIZANTE ASFASTICA)</t>
  </si>
  <si>
    <t>MARMORISTA / GRANITEIRO</t>
  </si>
  <si>
    <t>MARRETA 1 KG COM CABO</t>
  </si>
  <si>
    <t>MARRETA DE 1/2 KG COM CABO</t>
  </si>
  <si>
    <t>MARTELO COM UNHA</t>
  </si>
  <si>
    <t>MARTELO DE BORRACHA COM CABO</t>
  </si>
  <si>
    <t>MARTELO SEM UNHA</t>
  </si>
  <si>
    <t>MASSA IGAS PARA CAIXILHO DE ALUMINIO</t>
  </si>
  <si>
    <t>MASSA PARA VIDRO</t>
  </si>
  <si>
    <t>MESTRE DE OBRAS</t>
  </si>
  <si>
    <t>MONTADOR DE ESTRUTURAS METALICAS</t>
  </si>
  <si>
    <t>MOTORISTA DE CAMINHAO</t>
  </si>
  <si>
    <t>NÍVEL DE BOLHA DE MADEIRA</t>
  </si>
  <si>
    <t>ÓCULOS BRANCO PROTEÇÃO</t>
  </si>
  <si>
    <t>PR</t>
  </si>
  <si>
    <t>OLEO DIESEL COMBUSTIVEL COMUM</t>
  </si>
  <si>
    <t>OPERADOR DE BETONEIRA ESTACIONARIA / MISTURADOR</t>
  </si>
  <si>
    <t>OPERADOR DE GUINCHO OU GUINCHEIRO</t>
  </si>
  <si>
    <t>OPERADOR DE GUINDASTE</t>
  </si>
  <si>
    <t>OPERADOR DE MAQUINAS E TRATORES DIVERSOS (TERRAPLANAGEM)</t>
  </si>
  <si>
    <t>PÁ QUADRADA</t>
  </si>
  <si>
    <t>PARAFUSO DE METAL 2 " X 12 (SEXTAVADO)</t>
  </si>
  <si>
    <t>PARAFUSO DRY WALL, EM ACO ZINCADO, CABECA LENTILHA E PONTA BROCA (LB), LARGURA 4,2 MM, COMPRIMENTO 13 MM</t>
  </si>
  <si>
    <t>PARAFUSO FRANCES METRICO ZINCADO, DIAMETRO 12 MM, COMPRIMENTO 150 MM, COM PORCA SEXTAVADA E ARRUELA DE PRESSAO MEDIA</t>
  </si>
  <si>
    <t>PARAFUSO NIQUELADO COM ACABAMENTO CROMADO PARA FIXAR PECA SANITARIA, INCLUI PORCA CEGA, ARRUELA E BUCHA DE NYLON TAMANHO S-10</t>
  </si>
  <si>
    <t>PARAFUSO ZINCADO, AUTOBROCANTE, FLANGEADO, 4,2 MM X 19 MM</t>
  </si>
  <si>
    <t>CENTO</t>
  </si>
  <si>
    <t>PARAFUSO, AUTO ATARRACHANTE, CABECA CHATA, FENDA SIMPLES, 1/4 (6,35 MM) X 25 MM</t>
  </si>
  <si>
    <t>PASTA LUBRIFICANTE P/  PVC JE</t>
  </si>
  <si>
    <t>PASTA LUBRIFICANTE PARA TUBOS E CONEXOES COM JUNTA ELASTICA (USO EM PVC, ACO, POLIETILENO E OUTROS) ( DE *400* G)</t>
  </si>
  <si>
    <t>PEDRA BRITADA N. 1 (9,5 a 19 MM) POSTO PEDREIRA/FORNECEDOR, SEM FRETE</t>
  </si>
  <si>
    <t>PEDRA BRITADA N. 2 (19 A 38 MM) POSTO PEDREIRA/FORNECEDOR, SEM FRETE</t>
  </si>
  <si>
    <t>PEDRA DE MÃO (RACHÃO)</t>
  </si>
  <si>
    <t>PEDREIRO</t>
  </si>
  <si>
    <t>PENDURAL OU PRESILHA REGULADORA, EM ACO GALVANIZADO, COM CORPO, MOLA E REBITE, PARA PERFIL TIPO CANALETA DE ESTRUTURA EM FORROS DRYWALL</t>
  </si>
  <si>
    <t>PERFIL AÇO INOX, CANTONEIRA ABAS IGUAIS - 1" X 1/8" (1,19KG/M)</t>
  </si>
  <si>
    <t>PERFIL ALUMÍNIO, TUBO RETANGULAR 50,80MM X 25,40MM X 1,20MM (0,484KG/M)</t>
  </si>
  <si>
    <t>PERFIL CANALETA, FORMATO C, EM ACO ZINCADO, PARA ESTRUTURA FORRO DRYWALL, E = 0,5 MM, *46 X 18* (L X H), COMPRIMENTO 3 M</t>
  </si>
  <si>
    <t>PERFIL DE ALUMINIO ANODIZADO FOSCO (DIVISORIA)</t>
  </si>
  <si>
    <t>PINCEL DE SEDA 2"</t>
  </si>
  <si>
    <t>PINO DE ACO COM FURO, HASTE = 27 MM (ACAO DIRETA)</t>
  </si>
  <si>
    <t>PINTOR</t>
  </si>
  <si>
    <t>PISO EM CERAMICA ESMALTADA EXTRA, PEI MAIOR OU IGUAL A 4, FORMATO MENOR OU IGUAL A 2025 CM2</t>
  </si>
  <si>
    <t>PLACA DE OBRA (PARA CONSTRUCAO CIVIL) EM CHAPA GALVANIZADA *N. 22*, ADESIVADA, DE *2,0 X 1,125* M</t>
  </si>
  <si>
    <t>PLUG PVC ROSCAVEL,  1/2",  AGUA FRIA PREDIAL (NBR 5648)</t>
  </si>
  <si>
    <t>PONTALETE *7,5 X 7,5* CM EM PINUS, MISTA OU EQUIVALENTE DA REGIAO - BRUTA</t>
  </si>
  <si>
    <t>PORTA DE ABRIR EM ALUMINIO TIPO VENEZIANA, ACABAMENTO ANODIZADO NATURAL, SEM GUARNICAO/ALIZAR/VISTA, 87 X 210 CM</t>
  </si>
  <si>
    <t>PRAIO SIMPLES 30CM</t>
  </si>
  <si>
    <t>PREGO DE ACO POLIDO COM CABECA 15 X 15 (1 1/4 X 13)</t>
  </si>
  <si>
    <t>PREGO DE ACO POLIDO COM CABECA 16 X 24 (2 1/4 X 12)</t>
  </si>
  <si>
    <t>PREGO DE ACO POLIDO COM CABECA 17 X 21 (2 X 11)</t>
  </si>
  <si>
    <t>PREGO DE ACO POLIDO COM CABECA 17 X 24 (2 1/4 X 11)</t>
  </si>
  <si>
    <t>PREGO DE ACO POLIDO COM CABECA 17 X 27 (2 1/2 X 11)</t>
  </si>
  <si>
    <t>PREGO DE ACO POLIDO COM CABECA 18 X 30 (2 3/4 X 10)</t>
  </si>
  <si>
    <t>PREGO DE ACO POLIDO COM CABECA 19  X 36 (3 1/4  X  9)</t>
  </si>
  <si>
    <t>PREGO DE ACO POLIDO COM CABECA 22 X 48 (4 1/4 X 5)</t>
  </si>
  <si>
    <t>PREGO DE ACO POLIDO COM CABECA DUPLA 17 X 27 (2 1/2 X 11)</t>
  </si>
  <si>
    <t>PROJETO DE REDE DE ESGOTO SANITÁRIO COM TRATAMENTO SIMPLES COM ÁREA ATÉ 500M² (FOSSA E FILTRO, SUMIDOURO OU DAFA). OBSERVAÇÃO: O CÁLCULO DA ÁREA EQUIVALE À ÁREA CONSTRUÍDA E O PROJETO DEVE SER APROVADO PELA ADEMA.</t>
  </si>
  <si>
    <t>PROJETO HIDRAÚLICO - ÁGUA FRIA COM ÁREA ATÉ 500M². OBSERVAÇÃO APRESENTAR CARTA DE VIABILIDADE DA DESO.</t>
  </si>
  <si>
    <t>PROTETOR AURICULAR</t>
  </si>
  <si>
    <t>PROTETOR SOLAR FPS 30 COM 120ML</t>
  </si>
  <si>
    <t>PRUMO DE FACE</t>
  </si>
  <si>
    <t>QUADRO DE DISTRIBUIÇÃO DE EMBUTIR EM CHAPA DE AÇO, P/ATÉ 12 DISJUNTORES C/BARRAMENTO, PADRÃO DIN, REF.904301, CEMAR OU SIMILAR</t>
  </si>
  <si>
    <t>RALO SIFONADO PVC, QUADRADO, D = 100 X 52 X 40MM,  REF.Nº20, ACABAMENTO ALUMÍNIO, MARCA AKROS OU SIMILAR</t>
  </si>
  <si>
    <t>RASGO EM BANCADA DE MÁRMORE OU GRANITO PARA COLACAÇÃO DE CUBA</t>
  </si>
  <si>
    <t>REFEIÇÃO - CAFÉ DA MANHÃ ( CAFÉ COM LEITE E DOIS PÃES COM MANTEIGA)</t>
  </si>
  <si>
    <t>REGISTRO DE ESFERA PVC, COM BORBOLETA, COM ROSCA EXTERNA, DE 1/2"</t>
  </si>
  <si>
    <t>REGISTRO DE PRESSAO PVC, ROSCAVEL, VOLANTE SIMPLES, DE 1/2"</t>
  </si>
  <si>
    <t>REGUA DE ALUMÍNIO C/ 2,00M (PARA PEDREIRO)</t>
  </si>
  <si>
    <t>REJUNTE CIMENTICIO, QUALQUER COR</t>
  </si>
  <si>
    <t>REJUNTE EPOXI, QUALQUER COR</t>
  </si>
  <si>
    <t>REVESTIMENTO EM CERAMICA ESMALTADA COMERCIAL, PEI MENOR OU IGUAL A 3, FORMATO MENOR OU IGUAL A 2025 CM2</t>
  </si>
  <si>
    <t>RIPA NAO APARELHADA,  *1,5 X 5* CM, EM MACARANDUBA, ANGELIM OU EQUIVALENTE DA REGIAO -  BRUTA</t>
  </si>
  <si>
    <t>RODOPIA EM GRANITO CINZA ANDORINHA, L=10CM, E=2CM, COM ACABAMENTO ABOLEADO</t>
  </si>
  <si>
    <t>ROLO LÃ DE CARNEIRO 20CM</t>
  </si>
  <si>
    <t>SABÃO EM PÓ</t>
  </si>
  <si>
    <t>SARRAFO *2,5 X 10* CM EM PINUS, MISTA OU EQUIVALENTE DA REGIAO - BRUTA</t>
  </si>
  <si>
    <t>SARRAFO *2,5 X 7,5* CM EM PINUS, MISTA OU EQUIVALENTE DA REGIAO - BRUTA</t>
  </si>
  <si>
    <t>SARRAFO NAO APARELHADO *2,5 X 7* CM, EM MACARANDUBA, ANGELIM OU EQUIVALENTE DA REGIAO - BRUTA</t>
  </si>
  <si>
    <t>SARRAFO NAO APARELHADO 2,5 X 5 CM, EM MACARANDUBA, ANGELIM OU EQUIVALENTE DA REGIAO -  BRUTA</t>
  </si>
  <si>
    <t>SEGURO - HORISTA (COLETADO CAIXA)</t>
  </si>
  <si>
    <t>SEGURO DE VIDA E ACIDENTE EM GRUPO</t>
  </si>
  <si>
    <t>SELADOR ACRILICO PAREDES INTERNAS/EXTERNAS</t>
  </si>
  <si>
    <t>SELANTE ELASTICO MONOCOMPONENTE A BASE DE POLIURETANO (PU) PARA JUNTAS DIVERSAS</t>
  </si>
  <si>
    <t>310ML</t>
  </si>
  <si>
    <t>SERRA CIRCULAR DE BANCADA COM MOTOR ELETRICO, POTENCIA DE *1600* W, PARA DISCO DE DIAMETRO DE 10" (250 MM)</t>
  </si>
  <si>
    <t>SERRA CIRCULAR ELETRICA PORTATIL</t>
  </si>
  <si>
    <t>SERRA MÁRMORE</t>
  </si>
  <si>
    <t>SERROTE 40CM</t>
  </si>
  <si>
    <t>SERVENTE</t>
  </si>
  <si>
    <t>SERVENTE DE OBRAS</t>
  </si>
  <si>
    <t>SERVICO DE BOMBEAMENTO DE CONCRETO COM CONSUMO MINIMO DE 40 M3</t>
  </si>
  <si>
    <t>SIFAO EM METAL CROMADO PARA PIA OU LAVATORIO, 1 X 1.1/2 "</t>
  </si>
  <si>
    <t>SOLEIRA EM GRANITO, POLIDO, TIPO ANDORINHA/ QUARTZ/ CASTELO/ CORUMBA OU OUTROS EQUIVALENTES DA REGIAO, L= *15* CM, E=  *2,0* CM</t>
  </si>
  <si>
    <t>SOLUÇÃO LIMPADORA PARA PVC RIGIDO</t>
  </si>
  <si>
    <t>SOLUCAO LIMPADORA PARA PVC, FRASCO COM 1000 CM3</t>
  </si>
  <si>
    <t>SOLUCAO LIMPADORA PVC</t>
  </si>
  <si>
    <t>SUPORTE DE FIXACAO PARA ESPELHO / PLACA 4" X 2", PARA 3 MODULOS, PARA INSTALACAO DE TOMADAS E INTERRUPTORES (SOMENTE SUPORTE)</t>
  </si>
  <si>
    <t>TABUA  NAO  APARELHADA  *2,5 X 20* CM, EM MACARANDUBA, ANGELIM OU EQUIVALENTE DA REGIAO - BRUTA</t>
  </si>
  <si>
    <t>TABUA NAO APARELHADA *2,5 X 30* CM, EM MACARANDUBA, ANGELIM OU EQUIVALENTE DA REGIAO - BRUTA</t>
  </si>
  <si>
    <t>TALHADEIRA CHATA 10"</t>
  </si>
  <si>
    <t>TAMPA PRE-MOLDADA DE CONCRETO P/ FOSSA E SUMIDOURO DE  D=1,20M,E=0,10M</t>
  </si>
  <si>
    <t>TAMPO/BANCADA DE GRANITO CINZA ANDORINHA, E=2CM</t>
  </si>
  <si>
    <t>TANQUE DE ACO CARBONO NAO REVESTIDO, PARA TRANSPORTE DE AGUA COM CAPACIDADE DE 10 M3, COM BOMBA CENTRIFUGA POR TOMADA DE FORCA, VAZAO MAXIMA *75* M3/H (INCLUI MONTAGEM, NAO INCLUI CAMINHAO)</t>
  </si>
  <si>
    <t>TARRACHA PARA TUBOS PVC DE 1 1/2"</t>
  </si>
  <si>
    <t>TARRACHA PARA TUBOS PVC DE 1 1/4"</t>
  </si>
  <si>
    <t>TARRACHA PARA TUBOS PVC DE 1"</t>
  </si>
  <si>
    <t>TARRACHA PARA TUBOS PVC DE 1/2"</t>
  </si>
  <si>
    <t>TARRACHA PARA TUBOS PVC DE 3/4"</t>
  </si>
  <si>
    <t>TE DE REDUCAO, PVC, SOLDAVEL, 90 GRAUS, 32 MM X 25 MM, PARA AGUA FRIA PREDIAL</t>
  </si>
  <si>
    <t>TE DE REDUCAO, PVC, SOLDAVEL, 90 GRAUS, 50 MM X 25 MM, PARA AGUA FRIA PREDIAL</t>
  </si>
  <si>
    <t>TE PVC, ROSCAVEL, 90 GRAUS, 1/2",  AGUA FRIA PREDIAL</t>
  </si>
  <si>
    <t>TE PVC, SOLDAVEL, COM BUCHA DE LATAO NA BOLSA CENTRAL, 90 GRAUS, 25 MM X 1/2", PARA AGUA FRIA PREDIAL</t>
  </si>
  <si>
    <t>TE SANITARIO, PVC, DN 100 X 100 MM, SERIE NORMAL, PARA ESGOTO PREDIAL</t>
  </si>
  <si>
    <t>TE SOLDAVEL, PVC, 90 GRAUS, 25 MM, PARA AGUA FRIA PREDIAL (NBR 5648)</t>
  </si>
  <si>
    <t>TELA DE ACO SOLDADA GALVANIZADA/ZINCADA PARA ALVENARIA, FIO  D = *1,20 A 1,70* MM, MALHA 15 X 15 MM, (C X L) *50 X 12* CM</t>
  </si>
  <si>
    <t>TELA DE ACO SOLDADA GALVANIZADA/ZINCADA PARA ALVENARIA, FIO D = *1,20 A 1,70* MM, MALHA 15 X 15 MM, (C X L) *50 X 7,5* CM</t>
  </si>
  <si>
    <t>TELA DE ACO SOLDADA NERVURADA, CA-60, Q-196, (3,11 KG/M2), DIAMETRO DO FIO = 5,0 MM, LARGURA = 2,45 M, ESPACAMENTO DA MALHA = 10 X 10 CM</t>
  </si>
  <si>
    <t>TELHA DE BARRO / CERAMICA, NAO ESMALTADA, TIPO COLONIAL, CANAL, PLAN, PAULISTA, COMPRIMENTO DE *44 A 50* CM, RENDIMENTO DE COBERTURA DE *26* TELHAS/M2</t>
  </si>
  <si>
    <t>MIL</t>
  </si>
  <si>
    <t>TELHADOR</t>
  </si>
  <si>
    <t>TERMINAL A COMPRESSAO EM COBRE ESTANHADO PARA CABO 2,5 MM2, 1 FURO E 1 COMPRESSAO, PARA PARAFUSO DE FIXACAO M5</t>
  </si>
  <si>
    <t>TERMINAL A COMPRESSAO EM COBRE ESTANHADO PARA CABO 4 MM2, 1 FURO E 1 COMPRESSAO, PARA PARAFUSO DE FIXACAO M5</t>
  </si>
  <si>
    <t>TERMINAL A COMPRESSAO EM COBRE ESTANHADO PARA CABO 6 MM2, 1 FURO E 1 COMPRESSAO, PARA PARAFUSO DE FIXACAO M6</t>
  </si>
  <si>
    <t>TESTEIRA EM GRANITO CINZA ANDORINHA, L=4 CM (DE TOPO) - FORNECIMENTO E COLOCAÇÃO</t>
  </si>
  <si>
    <t>TIJOLO CERÂMICO MACIÇO 5 X 9 X 19CM</t>
  </si>
  <si>
    <t>TINTA ACRILICA PREMIUM, COR BRANCO FOSCO</t>
  </si>
  <si>
    <t>TINTA ESMALTE SINTÉTICO (CORALIT OU SIMILAR)</t>
  </si>
  <si>
    <t>TOMADA 2P+T 10A, 250V  (APENAS MODULO)</t>
  </si>
  <si>
    <t>TORNEIRA PARA LAVATÓRIO CROMADA, DECA, LINHA TARGA 1190C40 OU SIMILAR</t>
  </si>
  <si>
    <t>TORNEIRA PLASTICA PARA JARDINS 1/2", HERC 1128 OU SIMILAR</t>
  </si>
  <si>
    <t>TORQUESA</t>
  </si>
  <si>
    <t>TRANSPORTE - HORISTA (COLETADO CAIXA)</t>
  </si>
  <si>
    <t>TRINCHA 3"</t>
  </si>
  <si>
    <t>TUBO ACO GALVANIZADO COM COSTURA, CLASSE LEVE, DN 80 MM ( 3"),  E = 3,35 MM, *7,32* KG/M (NBR 5580)</t>
  </si>
  <si>
    <t>TUBO DE POLIETILENO DE ALTA DENSIDADE (PEAD), PE-80, DE = 20 MM X 2,3 MM DE PAREDE, PARA LIGACAO DE AGUA PREDIAL (NBR 15561)</t>
  </si>
  <si>
    <t>TUBO PVC  SERIE NORMAL, DN 100 MM, PARA ESGOTO  PREDIAL (NBR 5688)</t>
  </si>
  <si>
    <t>TUBO PVC  SERIE NORMAL, DN 40 MM, PARA ESGOTO  PREDIAL (NBR 5688)</t>
  </si>
  <si>
    <t>TUBO PVC ESGOTO DE 100MM (4') - (NBR 5688)</t>
  </si>
  <si>
    <t>TUBO PVC, ROSCAVEL, 1/2", AGUA FRIA PREDIAL</t>
  </si>
  <si>
    <t>TUBO PVC, SOLDAVEL, DN 25 MM, AGUA FRIA (NBR-5648)</t>
  </si>
  <si>
    <t>UNIAO PVC RIGIDO ROSCAVEL  D= 1/2"</t>
  </si>
  <si>
    <t>VALE TRANSPORTE</t>
  </si>
  <si>
    <t>VÁLVULA DE ESCOAMENTO PARA LAVATÓRIO, DECA 1602C OU SIMILAR</t>
  </si>
  <si>
    <t>VASSOURA PIAÇAVA</t>
  </si>
  <si>
    <t>VEDACAO PVC, 100 MM, PARA SAIDA VASO SANITARIO</t>
  </si>
  <si>
    <t>VIBRADOR DE IMERSAO, DIAMETRO DA PONTEIRA DE *45* MM, COM MOTOR ELETRICO TRIFASICO DE 2 HP (2 CV)</t>
  </si>
  <si>
    <t>VIDRO TEMPERADO  6MM INCOLOR SEM COLOCAÇÃO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</si>
  <si>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</si>
  <si>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</si>
  <si>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</si>
  <si>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 xml:space="preserve">PARCELAS DE MAIOR RELEVÂNCIA TÉCNICO - FINANCEIRA DE OBRA PARA FINS DE QUALIFICAÇÃO TÉCNICO - OPERACIONAL EM PROCESSO LICITATÓRIO         
</t>
  </si>
  <si>
    <t xml:space="preserve">SINAPI PI-06/2021, SEINFRA 27, ORSE-06/2021,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</si>
</sst>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
    <numFmt numFmtId="166" formatCode="#,##0.00000"/>
    <numFmt numFmtId="167" formatCode="#,##0.000000"/>
    <numFmt numFmtId="168" formatCode="#,##0.0000000"/>
    <numFmt numFmtId="169" formatCode="0.000%"/>
  </numFmts>
  <fonts count="21"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1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top/>
      <bottom style="thin">
        <color auto="1"/>
      </bottom>
      <diagonal/>
    </border>
    <border>
      <left/>
      <right style="thin">
        <color auto="1"/>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s>
  <cellStyleXfs count="43">
    <xf numFmtId="0" fontId="0" fillId="0" borderId="0" applyFill="0" applyProtection="0">
      <alignment vertical="center"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8" fillId="0" borderId="0" applyFont="0" applyFill="0" applyBorder="0" applyAlignment="0" applyProtection="0">
      <alignment vertical="center" wrapText="1"/>
    </xf>
  </cellStyleXfs>
  <cellXfs count="121">
    <xf numFmtId="0" fontId="0" fillId="0" borderId="0" xfId="0">
      <alignment vertical="center" wrapText="1"/>
    </xf>
    <xf numFmtId="0" fontId="0" fillId="0" borderId="0" xfId="0" applyFill="1" applyProtection="1">
      <alignment vertical="center" wrapText="1"/>
    </xf>
    <xf numFmtId="0" fontId="19" fillId="0" borderId="0" xfId="0" applyFont="1" applyFill="1" applyAlignment="1" applyProtection="1">
      <alignment horizontal="center" vertical="center" wrapText="1"/>
    </xf>
    <xf numFmtId="0" fontId="19" fillId="0" borderId="0" xfId="0" applyFont="1" applyFill="1" applyProtection="1">
      <alignment vertical="center" wrapText="1"/>
    </xf>
    <xf numFmtId="0" fontId="19" fillId="0" borderId="0" xfId="0" applyFont="1" applyFill="1" applyAlignment="1" applyProtection="1">
      <alignment horizontal="left" vertical="center"/>
    </xf>
    <xf numFmtId="4" fontId="19" fillId="0" borderId="0" xfId="0" applyNumberFormat="1" applyFont="1" applyFill="1" applyAlignment="1" applyProtection="1">
      <alignment horizontal="center" vertical="center" wrapText="1"/>
    </xf>
    <xf numFmtId="0" fontId="19" fillId="0" borderId="10" xfId="0" applyFont="1" applyFill="1" applyBorder="1" applyAlignment="1" applyProtection="1">
      <alignment horizontal="center" vertical="center" wrapText="1"/>
    </xf>
    <xf numFmtId="4" fontId="0" fillId="0" borderId="17" xfId="0" applyNumberFormat="1" applyFill="1" applyBorder="1" applyAlignment="1" applyProtection="1">
      <alignment horizontal="center" vertical="center" wrapText="1"/>
    </xf>
    <xf numFmtId="4" fontId="0" fillId="0" borderId="0" xfId="0" applyNumberFormat="1" applyFont="1" applyFill="1" applyAlignment="1" applyProtection="1">
      <alignment horizontal="center" vertical="center" wrapText="1"/>
    </xf>
    <xf numFmtId="0" fontId="0" fillId="0" borderId="10" xfId="0" applyFont="1" applyFill="1" applyBorder="1" applyAlignment="1" applyProtection="1">
      <alignment horizontal="justify" vertical="center" wrapText="1"/>
    </xf>
    <xf numFmtId="0" fontId="19" fillId="0" borderId="19" xfId="0" applyFont="1"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10" fontId="0" fillId="0" borderId="10" xfId="0" applyNumberFormat="1" applyFont="1" applyFill="1" applyBorder="1" applyAlignment="1" applyProtection="1">
      <alignment horizontal="center" vertical="center"/>
    </xf>
    <xf numFmtId="4" fontId="19" fillId="0" borderId="19"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4" fontId="0" fillId="0" borderId="10" xfId="0" applyNumberFormat="1" applyFont="1" applyFill="1" applyBorder="1" applyAlignment="1" applyProtection="1">
      <alignment horizontal="center" vertical="center" wrapText="1"/>
    </xf>
    <xf numFmtId="0" fontId="19" fillId="0" borderId="14" xfId="0" applyFont="1" applyFill="1" applyBorder="1" applyProtection="1">
      <alignment vertical="center" wrapText="1"/>
    </xf>
    <xf numFmtId="0" fontId="20" fillId="0" borderId="0" xfId="0" applyFont="1" applyAlignment="1">
      <alignment horizontal="left" vertical="center" wrapText="1"/>
    </xf>
    <xf numFmtId="0" fontId="0" fillId="0" borderId="10" xfId="0" applyNumberFormat="1" applyFont="1" applyFill="1" applyBorder="1" applyAlignment="1" applyProtection="1">
      <alignment horizontal="center" vertical="center" wrapText="1"/>
    </xf>
    <xf numFmtId="4" fontId="19" fillId="0" borderId="10" xfId="0" applyNumberFormat="1"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12" xfId="0" applyFont="1" applyFill="1" applyBorder="1" applyAlignment="1" applyProtection="1">
      <alignment vertical="center"/>
    </xf>
    <xf numFmtId="0" fontId="0" fillId="0" borderId="14" xfId="0" applyFont="1" applyFill="1" applyBorder="1" applyAlignment="1" applyProtection="1">
      <alignment vertical="center" wrapText="1"/>
    </xf>
    <xf numFmtId="0" fontId="0" fillId="0" borderId="14" xfId="0" applyFont="1" applyFill="1" applyBorder="1" applyAlignment="1" applyProtection="1">
      <alignment horizontal="center" vertical="center" wrapText="1"/>
    </xf>
    <xf numFmtId="4" fontId="0" fillId="0" borderId="14" xfId="0" applyNumberFormat="1" applyFont="1" applyFill="1" applyBorder="1" applyAlignment="1" applyProtection="1">
      <alignment horizontal="center" vertical="center" wrapText="1"/>
    </xf>
    <xf numFmtId="4" fontId="0" fillId="0" borderId="13"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164" fontId="0" fillId="0" borderId="10" xfId="0" applyNumberFormat="1" applyFont="1" applyFill="1" applyBorder="1" applyAlignment="1" applyProtection="1">
      <alignment horizontal="center" vertical="center" wrapText="1"/>
    </xf>
    <xf numFmtId="165" fontId="0" fillId="0" borderId="10" xfId="0" applyNumberFormat="1" applyFont="1" applyFill="1" applyBorder="1" applyAlignment="1" applyProtection="1">
      <alignment horizontal="center" vertical="center" wrapText="1"/>
    </xf>
    <xf numFmtId="168" fontId="0" fillId="0" borderId="10" xfId="0" applyNumberFormat="1" applyFont="1" applyFill="1" applyBorder="1" applyAlignment="1" applyProtection="1">
      <alignment horizontal="center" vertical="center" wrapText="1"/>
    </xf>
    <xf numFmtId="167" fontId="0" fillId="0" borderId="10" xfId="0" applyNumberFormat="1" applyFont="1" applyFill="1" applyBorder="1" applyAlignment="1" applyProtection="1">
      <alignment horizontal="center" vertical="center" wrapText="1"/>
    </xf>
    <xf numFmtId="166" fontId="0" fillId="0" borderId="10" xfId="0" applyNumberFormat="1" applyFont="1" applyFill="1" applyBorder="1" applyAlignment="1" applyProtection="1">
      <alignment horizontal="center" vertical="center" wrapText="1"/>
    </xf>
    <xf numFmtId="0" fontId="20" fillId="0" borderId="0" xfId="0" applyFont="1" applyFill="1" applyAlignment="1" applyProtection="1">
      <alignment horizontal="center" vertical="center" wrapText="1"/>
    </xf>
    <xf numFmtId="0" fontId="0" fillId="0" borderId="10" xfId="0" applyFill="1" applyBorder="1" applyAlignment="1" applyProtection="1">
      <alignment horizontal="center" vertical="top" wrapText="1"/>
    </xf>
    <xf numFmtId="0" fontId="20" fillId="0" borderId="0" xfId="0" applyFont="1" applyFill="1" applyProtection="1">
      <alignment vertical="center" wrapText="1"/>
    </xf>
    <xf numFmtId="10" fontId="20" fillId="0" borderId="0" xfId="42" applyNumberFormat="1" applyFont="1" applyFill="1" applyAlignment="1" applyProtection="1">
      <alignment horizontal="center" vertical="center" wrapText="1"/>
    </xf>
    <xf numFmtId="0" fontId="19" fillId="0" borderId="0" xfId="0" applyFont="1" applyFill="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0" xfId="0" applyFont="1" applyFill="1" applyAlignment="1" applyProtection="1">
      <alignment vertical="center" wrapText="1"/>
    </xf>
    <xf numFmtId="0" fontId="0" fillId="0" borderId="12" xfId="0" applyFont="1" applyFill="1" applyBorder="1" applyAlignment="1" applyProtection="1">
      <alignment horizontal="justify" vertical="center" wrapText="1"/>
    </xf>
    <xf numFmtId="0" fontId="0" fillId="0" borderId="14" xfId="0" applyFont="1" applyFill="1" applyBorder="1" applyAlignment="1" applyProtection="1">
      <alignment horizontal="justify" vertical="center" wrapText="1"/>
    </xf>
    <xf numFmtId="0" fontId="0" fillId="0" borderId="13" xfId="0" applyFont="1" applyFill="1" applyBorder="1" applyAlignment="1" applyProtection="1">
      <alignment horizontal="justify" vertical="center" wrapText="1"/>
    </xf>
    <xf numFmtId="0" fontId="0" fillId="0" borderId="12" xfId="0" applyFill="1" applyBorder="1" applyAlignment="1" applyProtection="1">
      <alignment horizontal="justify" vertical="top"/>
    </xf>
    <xf numFmtId="0" fontId="0" fillId="0" borderId="14" xfId="0" applyFill="1" applyBorder="1" applyAlignment="1" applyProtection="1">
      <alignment horizontal="justify" vertical="top"/>
    </xf>
    <xf numFmtId="0" fontId="0" fillId="0" borderId="13" xfId="0" applyFill="1" applyBorder="1" applyAlignment="1" applyProtection="1">
      <alignment horizontal="justify" vertical="top"/>
    </xf>
    <xf numFmtId="4" fontId="0" fillId="0" borderId="18" xfId="0" applyNumberFormat="1" applyFill="1" applyBorder="1" applyAlignment="1" applyProtection="1">
      <alignment horizontal="center" vertical="center" wrapText="1"/>
    </xf>
    <xf numFmtId="4" fontId="0" fillId="0" borderId="17" xfId="0" applyNumberFormat="1" applyFill="1" applyBorder="1" applyAlignment="1" applyProtection="1">
      <alignment horizontal="center" vertical="center" wrapText="1"/>
    </xf>
    <xf numFmtId="0" fontId="19" fillId="0" borderId="12"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0" xfId="0" applyFont="1" applyFill="1" applyAlignment="1" applyProtection="1">
      <alignment horizontal="center" vertical="center" wrapText="1"/>
    </xf>
    <xf numFmtId="0" fontId="0" fillId="0" borderId="12" xfId="0"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0" fillId="0" borderId="13" xfId="0" applyFill="1" applyBorder="1" applyAlignment="1" applyProtection="1">
      <alignment horizontal="left" vertical="center" wrapText="1"/>
    </xf>
    <xf numFmtId="0" fontId="19" fillId="0" borderId="24"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4" fontId="19" fillId="0" borderId="20" xfId="0" applyNumberFormat="1" applyFont="1" applyFill="1" applyBorder="1" applyAlignment="1" applyProtection="1">
      <alignment horizontal="center" vertical="center" wrapText="1"/>
    </xf>
    <xf numFmtId="4" fontId="19" fillId="0" borderId="25" xfId="0" applyNumberFormat="1" applyFont="1" applyFill="1" applyBorder="1" applyAlignment="1" applyProtection="1">
      <alignment horizontal="center" vertical="center" wrapText="1"/>
    </xf>
    <xf numFmtId="10" fontId="19" fillId="0" borderId="29" xfId="0" applyNumberFormat="1" applyFont="1" applyFill="1" applyBorder="1" applyAlignment="1" applyProtection="1">
      <alignment horizontal="center" vertical="center"/>
    </xf>
    <xf numFmtId="10" fontId="19" fillId="0" borderId="30" xfId="0" applyNumberFormat="1"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4" fontId="19" fillId="0" borderId="24" xfId="0" applyNumberFormat="1" applyFont="1" applyFill="1" applyBorder="1" applyAlignment="1" applyProtection="1">
      <alignment horizontal="center" vertical="center" wrapText="1"/>
    </xf>
    <xf numFmtId="4" fontId="19" fillId="0" borderId="17" xfId="0" applyNumberFormat="1" applyFont="1" applyFill="1" applyBorder="1" applyAlignment="1" applyProtection="1">
      <alignment horizontal="center" vertical="center" wrapText="1"/>
    </xf>
    <xf numFmtId="0" fontId="19" fillId="0" borderId="12"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wrapText="1"/>
    </xf>
    <xf numFmtId="4" fontId="19" fillId="0" borderId="18" xfId="0" applyNumberFormat="1" applyFont="1" applyFill="1" applyBorder="1" applyAlignment="1" applyProtection="1">
      <alignment horizontal="center" vertical="center" wrapText="1"/>
    </xf>
    <xf numFmtId="0" fontId="0" fillId="0" borderId="32" xfId="0" applyFont="1" applyBorder="1" applyAlignment="1">
      <alignment horizontal="left" vertical="center" wrapText="1"/>
    </xf>
    <xf numFmtId="4" fontId="0" fillId="0" borderId="12" xfId="0" applyNumberFormat="1" applyFont="1" applyFill="1" applyBorder="1" applyAlignment="1" applyProtection="1">
      <alignment horizontal="center" vertical="center" wrapText="1"/>
    </xf>
    <xf numFmtId="4" fontId="0" fillId="0" borderId="13" xfId="0" applyNumberFormat="1" applyFont="1" applyFill="1" applyBorder="1" applyAlignment="1" applyProtection="1">
      <alignment horizontal="center" vertical="center" wrapText="1"/>
    </xf>
    <xf numFmtId="4" fontId="0" fillId="0" borderId="18" xfId="0" applyNumberFormat="1" applyFont="1" applyFill="1" applyBorder="1" applyAlignment="1" applyProtection="1">
      <alignment horizontal="center" vertical="center" wrapText="1"/>
    </xf>
    <xf numFmtId="4" fontId="0" fillId="0" borderId="17" xfId="0" applyNumberFormat="1"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0" fillId="0" borderId="12" xfId="0" applyFont="1" applyFill="1" applyBorder="1" applyAlignment="1" applyProtection="1">
      <alignment horizontal="left" vertical="center" wrapText="1"/>
    </xf>
    <xf numFmtId="0" fontId="0" fillId="0" borderId="14"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9" fillId="0" borderId="33" xfId="0" applyFont="1" applyFill="1" applyBorder="1" applyAlignment="1" applyProtection="1">
      <alignment horizontal="center" vertical="center" wrapText="1"/>
    </xf>
    <xf numFmtId="0" fontId="19" fillId="0" borderId="35" xfId="0" applyFont="1" applyFill="1" applyBorder="1" applyAlignment="1" applyProtection="1">
      <alignment horizontal="left" vertical="center" wrapText="1"/>
    </xf>
    <xf numFmtId="0" fontId="19" fillId="0" borderId="34" xfId="0" applyFont="1" applyFill="1" applyBorder="1" applyAlignment="1" applyProtection="1">
      <alignment horizontal="left" vertical="center" wrapText="1"/>
    </xf>
    <xf numFmtId="4" fontId="0" fillId="0" borderId="14" xfId="0" applyNumberFormat="1" applyFont="1" applyFill="1" applyBorder="1" applyAlignment="1" applyProtection="1">
      <alignment horizontal="center" vertical="center" wrapText="1"/>
    </xf>
    <xf numFmtId="0" fontId="0" fillId="0" borderId="15" xfId="0" applyFill="1" applyBorder="1" applyAlignment="1" applyProtection="1">
      <alignment horizontal="justify" vertical="top" wrapText="1"/>
    </xf>
    <xf numFmtId="0" fontId="0" fillId="0" borderId="16" xfId="0" applyFill="1" applyBorder="1" applyAlignment="1" applyProtection="1">
      <alignment horizontal="justify" vertical="top" wrapText="1"/>
    </xf>
    <xf numFmtId="0" fontId="0" fillId="0" borderId="36" xfId="0" applyFill="1" applyBorder="1" applyAlignment="1" applyProtection="1">
      <alignment horizontal="justify" vertical="top" wrapText="1"/>
    </xf>
    <xf numFmtId="0" fontId="0" fillId="0" borderId="11"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39" xfId="0" applyFill="1" applyBorder="1" applyAlignment="1" applyProtection="1">
      <alignment horizontal="justify" vertical="top" wrapText="1"/>
    </xf>
    <xf numFmtId="0" fontId="0" fillId="0" borderId="37" xfId="0" applyFill="1" applyBorder="1" applyAlignment="1" applyProtection="1">
      <alignment horizontal="justify" vertical="top" wrapText="1"/>
    </xf>
    <xf numFmtId="0" fontId="0" fillId="0" borderId="33" xfId="0" applyFill="1" applyBorder="1" applyAlignment="1" applyProtection="1">
      <alignment horizontal="justify" vertical="top" wrapText="1"/>
    </xf>
    <xf numFmtId="0" fontId="0" fillId="0" borderId="38" xfId="0" applyFill="1" applyBorder="1" applyAlignment="1" applyProtection="1">
      <alignment horizontal="justify" vertical="top" wrapText="1"/>
    </xf>
    <xf numFmtId="10" fontId="19" fillId="0" borderId="12" xfId="42" applyNumberFormat="1" applyFont="1" applyFill="1" applyBorder="1" applyAlignment="1" applyProtection="1">
      <alignment horizontal="center" vertical="top"/>
    </xf>
    <xf numFmtId="10" fontId="19" fillId="0" borderId="13" xfId="42" applyNumberFormat="1" applyFont="1" applyFill="1" applyBorder="1" applyAlignment="1" applyProtection="1">
      <alignment horizontal="center" vertical="top"/>
    </xf>
    <xf numFmtId="0" fontId="0" fillId="0" borderId="0" xfId="0" applyFill="1" applyAlignment="1" applyProtection="1">
      <alignment horizontal="center" vertical="center" wrapText="1"/>
    </xf>
    <xf numFmtId="0" fontId="0" fillId="0" borderId="0" xfId="0" applyFill="1" applyAlignment="1" applyProtection="1">
      <alignment horizontal="left" vertical="center" wrapText="1"/>
    </xf>
    <xf numFmtId="0" fontId="0" fillId="0" borderId="12"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12" xfId="0" applyFill="1" applyBorder="1" applyAlignment="1" applyProtection="1">
      <alignment horizontal="center" vertical="top"/>
    </xf>
    <xf numFmtId="0" fontId="0" fillId="0" borderId="14" xfId="0" applyFill="1" applyBorder="1" applyAlignment="1" applyProtection="1">
      <alignment horizontal="center" vertical="top"/>
    </xf>
    <xf numFmtId="0" fontId="0" fillId="0" borderId="13" xfId="0" applyFill="1" applyBorder="1" applyAlignment="1" applyProtection="1">
      <alignment horizontal="center" vertical="top"/>
    </xf>
    <xf numFmtId="169" fontId="18" fillId="0" borderId="12" xfId="42" applyNumberFormat="1" applyFont="1" applyFill="1" applyBorder="1" applyAlignment="1" applyProtection="1">
      <alignment horizontal="center" vertical="top"/>
    </xf>
    <xf numFmtId="169" fontId="18" fillId="0" borderId="13" xfId="42" applyNumberFormat="1" applyFont="1" applyFill="1" applyBorder="1" applyAlignment="1" applyProtection="1">
      <alignment horizontal="center" vertical="top"/>
    </xf>
    <xf numFmtId="0" fontId="20" fillId="0" borderId="16" xfId="0" applyFont="1" applyFill="1" applyBorder="1" applyAlignment="1" applyProtection="1">
      <alignment horizontal="left" vertical="center"/>
    </xf>
    <xf numFmtId="0" fontId="0" fillId="0" borderId="14" xfId="0" applyFill="1" applyBorder="1" applyAlignment="1" applyProtection="1">
      <alignment horizontal="center" vertical="top" wrapText="1"/>
    </xf>
    <xf numFmtId="0" fontId="19" fillId="0" borderId="15" xfId="0"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ustomBuiltin="1"/>
    <cellStyle name="Nota" xfId="15" builtinId="10" customBuiltin="1"/>
    <cellStyle name="Porcentagem 2" xfId="42"/>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17083" cy="804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06500" cy="804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12850" cy="804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17083" cy="804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59417" cy="804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54125" cy="804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397000" cy="8043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59417" cy="8043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3</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59417" cy="8043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412750</xdr:colOff>
      <xdr:row>4</xdr:row>
      <xdr:rowOff>42333</xdr:rowOff>
    </xdr:to>
    <xdr:pic>
      <xdr:nvPicPr>
        <xdr:cNvPr id="2" name="Imagem 1" descr="logo_novo 03.png"/>
        <xdr:cNvPicPr/>
      </xdr:nvPicPr>
      <xdr:blipFill>
        <a:blip xmlns:r="http://schemas.openxmlformats.org/officeDocument/2006/relationships" r:embed="rId1"/>
        <a:stretch>
          <a:fillRect/>
        </a:stretch>
      </xdr:blipFill>
      <xdr:spPr>
        <a:xfrm>
          <a:off x="0" y="0"/>
          <a:ext cx="1206500" cy="804333"/>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tabSelected="1" view="pageBreakPreview" zoomScale="90" zoomScaleNormal="100" zoomScaleSheetLayoutView="90" workbookViewId="0">
      <selection activeCell="N13" sqref="N13"/>
    </sheetView>
  </sheetViews>
  <sheetFormatPr defaultRowHeight="15" customHeight="1" x14ac:dyDescent="0.25"/>
  <cols>
    <col min="1" max="1" width="12" style="1" customWidth="1"/>
    <col min="2" max="2" width="8" style="1" customWidth="1"/>
    <col min="3" max="3" width="4" style="1" customWidth="1"/>
    <col min="4" max="4" width="8" style="1" customWidth="1"/>
    <col min="5" max="6" width="21.85546875" style="1" customWidth="1"/>
    <col min="7" max="7" width="16" style="1" customWidth="1"/>
    <col min="8" max="11" width="9.85546875" style="1" customWidth="1"/>
    <col min="12" max="12" width="16" style="1" customWidth="1"/>
    <col min="13" max="16384" width="9.140625" style="1"/>
  </cols>
  <sheetData>
    <row r="1" spans="1:12" ht="15" customHeight="1" x14ac:dyDescent="0.25">
      <c r="A1" s="52" t="s">
        <v>0</v>
      </c>
      <c r="B1" s="52"/>
      <c r="C1" s="52"/>
      <c r="D1" s="52"/>
      <c r="E1" s="52"/>
      <c r="F1" s="52"/>
      <c r="G1" s="52"/>
      <c r="H1" s="52"/>
      <c r="I1" s="52"/>
      <c r="J1" s="52"/>
      <c r="K1" s="52"/>
    </row>
    <row r="2" spans="1:12" ht="15" customHeight="1" x14ac:dyDescent="0.25">
      <c r="A2" s="52" t="s">
        <v>1</v>
      </c>
      <c r="B2" s="52"/>
      <c r="C2" s="52"/>
      <c r="D2" s="52"/>
      <c r="E2" s="52"/>
      <c r="F2" s="52"/>
      <c r="G2" s="52"/>
      <c r="H2" s="52"/>
      <c r="I2" s="52"/>
      <c r="J2" s="52"/>
      <c r="K2" s="52"/>
    </row>
    <row r="3" spans="1:12" ht="15" customHeight="1" x14ac:dyDescent="0.25">
      <c r="A3" s="52" t="s">
        <v>2</v>
      </c>
      <c r="B3" s="52"/>
      <c r="C3" s="52"/>
      <c r="D3" s="52"/>
      <c r="E3" s="52"/>
      <c r="F3" s="52"/>
      <c r="G3" s="52"/>
      <c r="H3" s="52"/>
      <c r="I3" s="52"/>
      <c r="J3" s="52"/>
      <c r="K3" s="52"/>
    </row>
    <row r="4" spans="1:12" ht="15" customHeight="1" x14ac:dyDescent="0.25">
      <c r="A4" s="3"/>
      <c r="B4" s="3"/>
      <c r="C4" s="3"/>
      <c r="D4" s="3"/>
      <c r="E4" s="3"/>
      <c r="F4" s="3"/>
      <c r="G4" s="3"/>
      <c r="H4" s="3"/>
      <c r="I4" s="3"/>
      <c r="J4" s="3"/>
      <c r="K4" s="3"/>
    </row>
    <row r="5" spans="1:12" ht="15" customHeight="1" x14ac:dyDescent="0.25">
      <c r="A5" s="2" t="s">
        <v>3</v>
      </c>
      <c r="B5" s="4" t="s">
        <v>1647</v>
      </c>
      <c r="C5" s="2"/>
      <c r="D5" s="2"/>
      <c r="E5" s="2"/>
      <c r="F5" s="4" t="s">
        <v>896</v>
      </c>
      <c r="G5" s="2" t="s">
        <v>5</v>
      </c>
      <c r="H5" s="5">
        <f>IF(ONERA="COM DESONERAÇÃO",LS!$G$43,LS!$I$43)*100</f>
        <v>112.14999999999999</v>
      </c>
      <c r="I5" s="3"/>
      <c r="J5" s="2" t="s">
        <v>6</v>
      </c>
      <c r="K5" s="5">
        <f>BDI!J17*100</f>
        <v>20.8</v>
      </c>
    </row>
    <row r="6" spans="1:12" ht="15" customHeight="1" x14ac:dyDescent="0.25">
      <c r="A6" s="49" t="s">
        <v>7</v>
      </c>
      <c r="B6" s="50"/>
      <c r="C6" s="50"/>
      <c r="D6" s="50"/>
      <c r="E6" s="50"/>
      <c r="F6" s="50"/>
      <c r="G6" s="51"/>
      <c r="H6" s="49" t="s">
        <v>8</v>
      </c>
      <c r="I6" s="51"/>
      <c r="J6" s="49" t="s">
        <v>9</v>
      </c>
      <c r="K6" s="51"/>
      <c r="L6" s="2" t="s">
        <v>10</v>
      </c>
    </row>
    <row r="7" spans="1:12" ht="15" customHeight="1" x14ac:dyDescent="0.25">
      <c r="A7" s="44" t="s">
        <v>11</v>
      </c>
      <c r="B7" s="45"/>
      <c r="C7" s="45"/>
      <c r="D7" s="45"/>
      <c r="E7" s="45"/>
      <c r="F7" s="45"/>
      <c r="G7" s="46"/>
      <c r="H7" s="47">
        <f>J7</f>
        <v>253527.19000000003</v>
      </c>
      <c r="I7" s="48"/>
      <c r="J7" s="47">
        <f>VLOOKUP("TOTAL",RESUMO!A:K,10,FALSE)</f>
        <v>253527.19000000003</v>
      </c>
      <c r="K7" s="48"/>
      <c r="L7" s="8">
        <f>(J7)-(H7)</f>
        <v>0</v>
      </c>
    </row>
    <row r="8" spans="1:12" ht="15" customHeight="1" x14ac:dyDescent="0.25">
      <c r="A8" s="3"/>
      <c r="B8" s="3"/>
      <c r="C8" s="3"/>
      <c r="D8" s="3"/>
      <c r="E8" s="3"/>
      <c r="F8" s="3"/>
      <c r="G8" s="3"/>
      <c r="H8" s="3"/>
      <c r="I8" s="3"/>
      <c r="J8" s="3"/>
      <c r="K8" s="3"/>
    </row>
    <row r="9" spans="1:12" ht="15" customHeight="1" x14ac:dyDescent="0.25">
      <c r="A9" s="49" t="s">
        <v>12</v>
      </c>
      <c r="B9" s="50"/>
      <c r="C9" s="50"/>
      <c r="D9" s="50"/>
      <c r="E9" s="50"/>
      <c r="F9" s="50"/>
      <c r="G9" s="50"/>
      <c r="H9" s="50"/>
      <c r="I9" s="50"/>
      <c r="J9" s="50"/>
      <c r="K9" s="51"/>
    </row>
    <row r="10" spans="1:12" ht="15" customHeight="1" x14ac:dyDescent="0.25">
      <c r="A10" s="41" t="s">
        <v>13</v>
      </c>
      <c r="B10" s="42"/>
      <c r="C10" s="42"/>
      <c r="D10" s="42"/>
      <c r="E10" s="42"/>
      <c r="F10" s="42"/>
      <c r="G10" s="42"/>
      <c r="H10" s="42"/>
      <c r="I10" s="42"/>
      <c r="J10" s="42"/>
      <c r="K10" s="43"/>
    </row>
    <row r="11" spans="1:12" ht="15" customHeight="1" x14ac:dyDescent="0.25">
      <c r="A11" s="3"/>
      <c r="B11" s="3"/>
      <c r="C11" s="3"/>
      <c r="D11" s="3"/>
      <c r="E11" s="3"/>
      <c r="F11" s="3"/>
      <c r="G11" s="3"/>
      <c r="H11" s="3"/>
      <c r="I11" s="3"/>
      <c r="J11" s="3"/>
      <c r="K11" s="3"/>
    </row>
    <row r="12" spans="1:12" ht="15" customHeight="1" x14ac:dyDescent="0.25">
      <c r="A12" s="49" t="s">
        <v>14</v>
      </c>
      <c r="B12" s="50"/>
      <c r="C12" s="50"/>
      <c r="D12" s="50"/>
      <c r="E12" s="50"/>
      <c r="F12" s="50"/>
      <c r="G12" s="50"/>
      <c r="H12" s="50"/>
      <c r="I12" s="50"/>
      <c r="J12" s="50"/>
      <c r="K12" s="51"/>
    </row>
    <row r="13" spans="1:12" ht="78" customHeight="1" x14ac:dyDescent="0.25">
      <c r="A13" s="41" t="s">
        <v>15</v>
      </c>
      <c r="B13" s="42"/>
      <c r="C13" s="42"/>
      <c r="D13" s="42"/>
      <c r="E13" s="42"/>
      <c r="F13" s="42"/>
      <c r="G13" s="42"/>
      <c r="H13" s="42"/>
      <c r="I13" s="42"/>
      <c r="J13" s="42"/>
      <c r="K13" s="43"/>
    </row>
    <row r="14" spans="1:12" ht="60" customHeight="1" x14ac:dyDescent="0.25">
      <c r="A14" s="41" t="s">
        <v>16</v>
      </c>
      <c r="B14" s="42"/>
      <c r="C14" s="42"/>
      <c r="D14" s="42"/>
      <c r="E14" s="42"/>
      <c r="F14" s="42"/>
      <c r="G14" s="42"/>
      <c r="H14" s="42"/>
      <c r="I14" s="42"/>
      <c r="J14" s="42"/>
      <c r="K14" s="43"/>
    </row>
    <row r="15" spans="1:12" ht="249.95" customHeight="1" x14ac:dyDescent="0.25">
      <c r="A15" s="41" t="s">
        <v>17</v>
      </c>
      <c r="B15" s="42"/>
      <c r="C15" s="42"/>
      <c r="D15" s="42"/>
      <c r="E15" s="42"/>
      <c r="F15" s="42"/>
      <c r="G15" s="42"/>
      <c r="H15" s="42"/>
      <c r="I15" s="42"/>
      <c r="J15" s="42"/>
      <c r="K15" s="43"/>
    </row>
  </sheetData>
  <sheetProtection formatCells="0" formatColumns="0" formatRows="0" insertColumns="0" insertRows="0" insertHyperlinks="0" deleteColumns="0" deleteRows="0" sort="0" autoFilter="0" pivotTables="0"/>
  <mergeCells count="15">
    <mergeCell ref="A1:K1"/>
    <mergeCell ref="A2:K2"/>
    <mergeCell ref="A3:K3"/>
    <mergeCell ref="A6:G6"/>
    <mergeCell ref="H6:I6"/>
    <mergeCell ref="J6:K6"/>
    <mergeCell ref="A13:K13"/>
    <mergeCell ref="A14:K14"/>
    <mergeCell ref="A15:K15"/>
    <mergeCell ref="A7:G7"/>
    <mergeCell ref="H7:I7"/>
    <mergeCell ref="J7:K7"/>
    <mergeCell ref="A9:K9"/>
    <mergeCell ref="A10:K10"/>
    <mergeCell ref="A12:K12"/>
  </mergeCells>
  <dataValidations count="1">
    <dataValidation type="list" allowBlank="1" showInputMessage="1" showErrorMessage="1" sqref="F5">
      <formula1>"COM DESONERAÇÃO,SEM DESONERAÇÃO"</formula1>
    </dataValidation>
  </dataValidations>
  <pageMargins left="0.7" right="0.7" top="0.75" bottom="0.75" header="0.3" footer="0.3"/>
  <pageSetup scale="69" orientation="portrait"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workbookViewId="0">
      <selection activeCell="I9" sqref="I9"/>
    </sheetView>
  </sheetViews>
  <sheetFormatPr defaultRowHeight="15" customHeight="1" x14ac:dyDescent="0.25"/>
  <cols>
    <col min="1" max="1" width="14.7109375" style="1" customWidth="1"/>
    <col min="2" max="2" width="12.7109375" style="1" customWidth="1"/>
    <col min="3" max="3" width="4.7109375" style="1" customWidth="1"/>
    <col min="4" max="4" width="8.7109375" style="1" customWidth="1"/>
    <col min="5" max="5" width="25.7109375" style="1" customWidth="1"/>
    <col min="6" max="6" width="12.7109375" style="1" customWidth="1"/>
    <col min="7" max="7" width="8.7109375" style="1" customWidth="1"/>
    <col min="8" max="9" width="16.7109375" style="1" customWidth="1"/>
    <col min="10" max="11" width="8.7109375" style="1" customWidth="1"/>
    <col min="12" max="12" width="16.7109375" style="1" customWidth="1"/>
    <col min="13" max="13" width="27.5703125" style="1" customWidth="1"/>
    <col min="14" max="16384" width="9.140625" style="1"/>
  </cols>
  <sheetData>
    <row r="1" spans="1:13" ht="15" customHeight="1" x14ac:dyDescent="0.25">
      <c r="A1" s="52" t="str">
        <f>CIDADE</f>
        <v>MUNICÍPIO DE PICOS - PI</v>
      </c>
      <c r="B1" s="52"/>
      <c r="C1" s="52"/>
      <c r="D1" s="52"/>
      <c r="E1" s="52"/>
      <c r="F1" s="52"/>
      <c r="G1" s="52"/>
      <c r="H1" s="52"/>
      <c r="I1" s="52"/>
      <c r="J1" s="52"/>
      <c r="K1" s="52"/>
    </row>
    <row r="2" spans="1:13" ht="15" customHeight="1" x14ac:dyDescent="0.25">
      <c r="A2" s="52" t="str">
        <f>OBRA</f>
        <v>AMPLIAÇÃO ANTIGO PRÉDIO IAPEP PICOS</v>
      </c>
      <c r="B2" s="52"/>
      <c r="C2" s="52"/>
      <c r="D2" s="52"/>
      <c r="E2" s="52"/>
      <c r="F2" s="52"/>
      <c r="G2" s="52"/>
      <c r="H2" s="52"/>
      <c r="I2" s="52"/>
      <c r="J2" s="52"/>
      <c r="K2" s="52"/>
    </row>
    <row r="3" spans="1:13" ht="15" customHeight="1" x14ac:dyDescent="0.25">
      <c r="A3" s="52" t="s">
        <v>851</v>
      </c>
      <c r="B3" s="52"/>
      <c r="C3" s="52"/>
      <c r="D3" s="52"/>
      <c r="E3" s="52"/>
      <c r="F3" s="52"/>
      <c r="G3" s="52"/>
      <c r="H3" s="52"/>
      <c r="I3" s="52"/>
      <c r="J3" s="52"/>
      <c r="K3" s="52"/>
    </row>
    <row r="4" spans="1:13" ht="15" customHeight="1" x14ac:dyDescent="0.25">
      <c r="A4" s="3"/>
      <c r="B4" s="3"/>
      <c r="C4" s="3"/>
      <c r="D4" s="3"/>
      <c r="E4" s="3"/>
      <c r="F4" s="3"/>
      <c r="G4" s="3"/>
      <c r="H4" s="3"/>
      <c r="I4" s="3"/>
      <c r="J4" s="3"/>
      <c r="K4" s="3"/>
    </row>
    <row r="5" spans="1:13" ht="15" customHeight="1" x14ac:dyDescent="0.25">
      <c r="A5" s="2" t="s">
        <v>3</v>
      </c>
      <c r="B5" s="4" t="str">
        <f>FONTE&amp;ONERA</f>
        <v>SINAPI PI-06/2021, SEINFRA 27, ORSE-06/2021, SEM DESONERAÇÃO</v>
      </c>
      <c r="C5" s="2"/>
      <c r="D5" s="2"/>
      <c r="E5" s="2"/>
      <c r="G5" s="3"/>
      <c r="H5" s="2" t="s">
        <v>5</v>
      </c>
      <c r="I5" s="5">
        <f>LEI</f>
        <v>112.14999999999999</v>
      </c>
      <c r="J5" s="2" t="s">
        <v>6</v>
      </c>
      <c r="K5" s="5">
        <f>BDI</f>
        <v>20.8</v>
      </c>
    </row>
    <row r="6" spans="1:13" ht="15" customHeight="1" x14ac:dyDescent="0.25">
      <c r="A6" s="10" t="s">
        <v>295</v>
      </c>
      <c r="B6" s="10" t="s">
        <v>31</v>
      </c>
      <c r="C6" s="82" t="s">
        <v>7</v>
      </c>
      <c r="D6" s="83"/>
      <c r="E6" s="83"/>
      <c r="F6" s="83"/>
      <c r="G6" s="6" t="s">
        <v>32</v>
      </c>
      <c r="H6" s="6" t="s">
        <v>296</v>
      </c>
      <c r="I6" s="6" t="s">
        <v>297</v>
      </c>
      <c r="J6" s="57" t="s">
        <v>9</v>
      </c>
      <c r="K6" s="58"/>
    </row>
    <row r="7" spans="1:13" ht="15" customHeight="1" x14ac:dyDescent="0.25">
      <c r="A7" s="6" t="s">
        <v>11</v>
      </c>
      <c r="B7" s="6" t="s">
        <v>319</v>
      </c>
      <c r="C7" s="91" t="str">
        <f>VLOOKUP(B7,S!$A:$D,2,FALSE)</f>
        <v>ENCARGOS COMPLEMENTARES - SERVENTE</v>
      </c>
      <c r="D7" s="91"/>
      <c r="E7" s="91"/>
      <c r="F7" s="92"/>
      <c r="G7" s="6" t="str">
        <f>VLOOKUP(B7,S!$A:$D,3,FALSE)</f>
        <v>H</v>
      </c>
      <c r="H7" s="21"/>
      <c r="I7" s="21">
        <f>J26</f>
        <v>2.9100000000000006</v>
      </c>
      <c r="J7" s="76"/>
      <c r="K7" s="72"/>
      <c r="L7" s="21">
        <f>VLOOKUP(B7,S!$A:$D,4,FALSE)</f>
        <v>2.98</v>
      </c>
      <c r="M7" s="6" t="str">
        <f>IF(ROUND((L7-I7),2)=0,"OK, confere com a tabela.",IF(ROUND((L7-I7),2)&lt;0,"ACIMA ("&amp;TEXT(ROUND(I7*100/L7,4),"0,0000")&amp;" %) da tabela.","ABAIXO ("&amp;TEXT(ROUND(I7*100/L7,4),"0,0000")&amp;" %) da tabela."))</f>
        <v>ABAIXO (97,6510 %) da tabela.</v>
      </c>
    </row>
    <row r="8" spans="1:13" ht="15" customHeight="1" x14ac:dyDescent="0.25">
      <c r="A8" s="16" t="s">
        <v>306</v>
      </c>
      <c r="B8" s="16" t="s">
        <v>519</v>
      </c>
      <c r="C8" s="77" t="str">
        <f>VLOOKUP(B8,IF(A8="COMPOSICAO",S!$A:$D,I!$A:$D),2,FALSE)</f>
        <v>ALMOÇO (PARTICIPAÇÃO DO EMPREGADOR)</v>
      </c>
      <c r="D8" s="77"/>
      <c r="E8" s="77"/>
      <c r="F8" s="77"/>
      <c r="G8" s="16" t="str">
        <f>VLOOKUP(B8,IF(A8="COMPOSICAO",S!$A:$D,I!$A:$D),3,FALSE)</f>
        <v>UN</v>
      </c>
      <c r="H8" s="29">
        <v>0.1018</v>
      </c>
      <c r="I8" s="17">
        <f>IF(A8="COMPOSICAO",VLOOKUP("TOTAL - "&amp;B8,COMPOSICAO_AUX_5!$A:$J,10,FALSE),VLOOKUP(B8,I!$A:$D,4,FALSE))</f>
        <v>10</v>
      </c>
      <c r="J8" s="80">
        <f t="shared" ref="J8:J25" si="0">TRUNC(H8*I8,2)</f>
        <v>1.01</v>
      </c>
      <c r="K8" s="81"/>
    </row>
    <row r="9" spans="1:13" ht="15" customHeight="1" x14ac:dyDescent="0.25">
      <c r="A9" s="16" t="s">
        <v>306</v>
      </c>
      <c r="B9" s="16" t="s">
        <v>520</v>
      </c>
      <c r="C9" s="77" t="str">
        <f>VLOOKUP(B9,IF(A9="COMPOSICAO",S!$A:$D,I!$A:$D),2,FALSE)</f>
        <v>FARDAMENTO</v>
      </c>
      <c r="D9" s="77"/>
      <c r="E9" s="77"/>
      <c r="F9" s="77"/>
      <c r="G9" s="16" t="str">
        <f>VLOOKUP(B9,IF(A9="COMPOSICAO",S!$A:$D,I!$A:$D),3,FALSE)</f>
        <v>UN</v>
      </c>
      <c r="H9" s="29">
        <v>1.5E-3</v>
      </c>
      <c r="I9" s="17">
        <f>IF(A9="COMPOSICAO",VLOOKUP("TOTAL - "&amp;B9,COMPOSICAO_AUX_5!$A:$J,10,FALSE),VLOOKUP(B9,I!$A:$D,4,FALSE))</f>
        <v>78.53</v>
      </c>
      <c r="J9" s="80">
        <f t="shared" si="0"/>
        <v>0.11</v>
      </c>
      <c r="K9" s="81"/>
    </row>
    <row r="10" spans="1:13" ht="15" customHeight="1" x14ac:dyDescent="0.25">
      <c r="A10" s="16" t="s">
        <v>306</v>
      </c>
      <c r="B10" s="16" t="s">
        <v>521</v>
      </c>
      <c r="C10" s="77" t="str">
        <f>VLOOKUP(B10,IF(A10="COMPOSICAO",S!$A:$D,I!$A:$D),2,FALSE)</f>
        <v>ÓCULOS BRANCO PROTEÇÃO</v>
      </c>
      <c r="D10" s="77"/>
      <c r="E10" s="77"/>
      <c r="F10" s="77"/>
      <c r="G10" s="16" t="str">
        <f>VLOOKUP(B10,IF(A10="COMPOSICAO",S!$A:$D,I!$A:$D),3,FALSE)</f>
        <v>PR</v>
      </c>
      <c r="H10" s="29">
        <v>8.0000000000000004E-4</v>
      </c>
      <c r="I10" s="17">
        <f>IF(A10="COMPOSICAO",VLOOKUP("TOTAL - "&amp;B10,COMPOSICAO_AUX_5!$A:$J,10,FALSE),VLOOKUP(B10,I!$A:$D,4,FALSE))</f>
        <v>5.9</v>
      </c>
      <c r="J10" s="80">
        <f t="shared" si="0"/>
        <v>0</v>
      </c>
      <c r="K10" s="81"/>
    </row>
    <row r="11" spans="1:13" ht="15" customHeight="1" x14ac:dyDescent="0.25">
      <c r="A11" s="16" t="s">
        <v>306</v>
      </c>
      <c r="B11" s="16" t="s">
        <v>522</v>
      </c>
      <c r="C11" s="77" t="str">
        <f>VLOOKUP(B11,IF(A11="COMPOSICAO",S!$A:$D,I!$A:$D),2,FALSE)</f>
        <v>VALE TRANSPORTE</v>
      </c>
      <c r="D11" s="77"/>
      <c r="E11" s="77"/>
      <c r="F11" s="77"/>
      <c r="G11" s="16" t="str">
        <f>VLOOKUP(B11,IF(A11="COMPOSICAO",S!$A:$D,I!$A:$D),3,FALSE)</f>
        <v>UN</v>
      </c>
      <c r="H11" s="29">
        <v>9.4100000000000003E-2</v>
      </c>
      <c r="I11" s="17">
        <f>IF(A11="COMPOSICAO",VLOOKUP("TOTAL - "&amp;B11,COMPOSICAO_AUX_5!$A:$J,10,FALSE),VLOOKUP(B11,I!$A:$D,4,FALSE))</f>
        <v>4</v>
      </c>
      <c r="J11" s="80">
        <f t="shared" si="0"/>
        <v>0.37</v>
      </c>
      <c r="K11" s="81"/>
    </row>
    <row r="12" spans="1:13" ht="15" customHeight="1" x14ac:dyDescent="0.25">
      <c r="A12" s="16" t="s">
        <v>306</v>
      </c>
      <c r="B12" s="16" t="s">
        <v>523</v>
      </c>
      <c r="C12" s="77" t="str">
        <f>VLOOKUP(B12,IF(A12="COMPOSICAO",S!$A:$D,I!$A:$D),2,FALSE)</f>
        <v>TALHADEIRA CHATA 10"</v>
      </c>
      <c r="D12" s="77"/>
      <c r="E12" s="77"/>
      <c r="F12" s="77"/>
      <c r="G12" s="16" t="str">
        <f>VLOOKUP(B12,IF(A12="COMPOSICAO",S!$A:$D,I!$A:$D),3,FALSE)</f>
        <v>UN</v>
      </c>
      <c r="H12" s="29">
        <v>2.9999999999999997E-4</v>
      </c>
      <c r="I12" s="17">
        <f>IF(A12="COMPOSICAO",VLOOKUP("TOTAL - "&amp;B12,COMPOSICAO_AUX_5!$A:$J,10,FALSE),VLOOKUP(B12,I!$A:$D,4,FALSE))</f>
        <v>13.85</v>
      </c>
      <c r="J12" s="80">
        <f t="shared" si="0"/>
        <v>0</v>
      </c>
      <c r="K12" s="81"/>
    </row>
    <row r="13" spans="1:13" ht="15" customHeight="1" x14ac:dyDescent="0.25">
      <c r="A13" s="16" t="s">
        <v>306</v>
      </c>
      <c r="B13" s="16" t="s">
        <v>524</v>
      </c>
      <c r="C13" s="77" t="str">
        <f>VLOOKUP(B13,IF(A13="COMPOSICAO",S!$A:$D,I!$A:$D),2,FALSE)</f>
        <v>MARRETA 1 KG COM CABO</v>
      </c>
      <c r="D13" s="77"/>
      <c r="E13" s="77"/>
      <c r="F13" s="77"/>
      <c r="G13" s="16" t="str">
        <f>VLOOKUP(B13,IF(A13="COMPOSICAO",S!$A:$D,I!$A:$D),3,FALSE)</f>
        <v>UN</v>
      </c>
      <c r="H13" s="29">
        <v>1E-4</v>
      </c>
      <c r="I13" s="17">
        <f>IF(A13="COMPOSICAO",VLOOKUP("TOTAL - "&amp;B13,COMPOSICAO_AUX_5!$A:$J,10,FALSE),VLOOKUP(B13,I!$A:$D,4,FALSE))</f>
        <v>27.5</v>
      </c>
      <c r="J13" s="80">
        <f t="shared" si="0"/>
        <v>0</v>
      </c>
      <c r="K13" s="81"/>
    </row>
    <row r="14" spans="1:13" ht="15" customHeight="1" x14ac:dyDescent="0.25">
      <c r="A14" s="16" t="s">
        <v>306</v>
      </c>
      <c r="B14" s="16" t="s">
        <v>525</v>
      </c>
      <c r="C14" s="77" t="str">
        <f>VLOOKUP(B14,IF(A14="COMPOSICAO",S!$A:$D,I!$A:$D),2,FALSE)</f>
        <v>SEGURO DE VIDA E ACIDENTE EM GRUPO</v>
      </c>
      <c r="D14" s="77"/>
      <c r="E14" s="77"/>
      <c r="F14" s="77"/>
      <c r="G14" s="16" t="str">
        <f>VLOOKUP(B14,IF(A14="COMPOSICAO",S!$A:$D,I!$A:$D),3,FALSE)</f>
        <v>UN</v>
      </c>
      <c r="H14" s="29">
        <v>4.4999999999999997E-3</v>
      </c>
      <c r="I14" s="17">
        <f>IF(A14="COMPOSICAO",VLOOKUP("TOTAL - "&amp;B14,COMPOSICAO_AUX_5!$A:$J,10,FALSE),VLOOKUP(B14,I!$A:$D,4,FALSE))</f>
        <v>12.54</v>
      </c>
      <c r="J14" s="80">
        <f t="shared" si="0"/>
        <v>0.05</v>
      </c>
      <c r="K14" s="81"/>
    </row>
    <row r="15" spans="1:13" ht="15" customHeight="1" x14ac:dyDescent="0.25">
      <c r="A15" s="16" t="s">
        <v>306</v>
      </c>
      <c r="B15" s="16" t="s">
        <v>526</v>
      </c>
      <c r="C15" s="77" t="str">
        <f>VLOOKUP(B15,IF(A15="COMPOSICAO",S!$A:$D,I!$A:$D),2,FALSE)</f>
        <v>CESTA BÁSICA</v>
      </c>
      <c r="D15" s="77"/>
      <c r="E15" s="77"/>
      <c r="F15" s="77"/>
      <c r="G15" s="16" t="str">
        <f>VLOOKUP(B15,IF(A15="COMPOSICAO",S!$A:$D,I!$A:$D),3,FALSE)</f>
        <v>UN</v>
      </c>
      <c r="H15" s="29">
        <v>4.4999999999999997E-3</v>
      </c>
      <c r="I15" s="17">
        <f>IF(A15="COMPOSICAO",VLOOKUP("TOTAL - "&amp;B15,COMPOSICAO_AUX_5!$A:$J,10,FALSE),VLOOKUP(B15,I!$A:$D,4,FALSE))</f>
        <v>140</v>
      </c>
      <c r="J15" s="80">
        <f t="shared" si="0"/>
        <v>0.63</v>
      </c>
      <c r="K15" s="81"/>
    </row>
    <row r="16" spans="1:13" ht="15" customHeight="1" x14ac:dyDescent="0.25">
      <c r="A16" s="16" t="s">
        <v>306</v>
      </c>
      <c r="B16" s="16" t="s">
        <v>527</v>
      </c>
      <c r="C16" s="77" t="str">
        <f>VLOOKUP(B16,IF(A16="COMPOSICAO",S!$A:$D,I!$A:$D),2,FALSE)</f>
        <v>EXAMES ADMISSIONAIS/DEMISSIONAIS (CHECKUP)</v>
      </c>
      <c r="D16" s="77"/>
      <c r="E16" s="77"/>
      <c r="F16" s="77"/>
      <c r="G16" s="16" t="str">
        <f>VLOOKUP(B16,IF(A16="COMPOSICAO",S!$A:$D,I!$A:$D),3,FALSE)</f>
        <v>CJ</v>
      </c>
      <c r="H16" s="29">
        <v>4.0000000000000002E-4</v>
      </c>
      <c r="I16" s="17">
        <f>IF(A16="COMPOSICAO",VLOOKUP("TOTAL - "&amp;B16,COMPOSICAO_AUX_5!$A:$J,10,FALSE),VLOOKUP(B16,I!$A:$D,4,FALSE))</f>
        <v>300</v>
      </c>
      <c r="J16" s="80">
        <f t="shared" si="0"/>
        <v>0.12</v>
      </c>
      <c r="K16" s="81"/>
    </row>
    <row r="17" spans="1:13" ht="15" customHeight="1" x14ac:dyDescent="0.25">
      <c r="A17" s="16" t="s">
        <v>306</v>
      </c>
      <c r="B17" s="16" t="s">
        <v>528</v>
      </c>
      <c r="C17" s="77" t="str">
        <f>VLOOKUP(B17,IF(A17="COMPOSICAO",S!$A:$D,I!$A:$D),2,FALSE)</f>
        <v>PROTETOR AURICULAR</v>
      </c>
      <c r="D17" s="77"/>
      <c r="E17" s="77"/>
      <c r="F17" s="77"/>
      <c r="G17" s="16" t="str">
        <f>VLOOKUP(B17,IF(A17="COMPOSICAO",S!$A:$D,I!$A:$D),3,FALSE)</f>
        <v>UN</v>
      </c>
      <c r="H17" s="29">
        <v>4.4999999999999997E-3</v>
      </c>
      <c r="I17" s="17">
        <f>IF(A17="COMPOSICAO",VLOOKUP("TOTAL - "&amp;B17,COMPOSICAO_AUX_5!$A:$J,10,FALSE),VLOOKUP(B17,I!$A:$D,4,FALSE))</f>
        <v>4.9000000000000004</v>
      </c>
      <c r="J17" s="80">
        <f t="shared" si="0"/>
        <v>0.02</v>
      </c>
      <c r="K17" s="81"/>
    </row>
    <row r="18" spans="1:13" ht="15" customHeight="1" x14ac:dyDescent="0.25">
      <c r="A18" s="16" t="s">
        <v>306</v>
      </c>
      <c r="B18" s="16" t="s">
        <v>529</v>
      </c>
      <c r="C18" s="77" t="str">
        <f>VLOOKUP(B18,IF(A18="COMPOSICAO",S!$A:$D,I!$A:$D),2,FALSE)</f>
        <v>PROTETOR SOLAR FPS 30 COM 120ML</v>
      </c>
      <c r="D18" s="77"/>
      <c r="E18" s="77"/>
      <c r="F18" s="77"/>
      <c r="G18" s="16" t="str">
        <f>VLOOKUP(B18,IF(A18="COMPOSICAO",S!$A:$D,I!$A:$D),3,FALSE)</f>
        <v>UN</v>
      </c>
      <c r="H18" s="29">
        <v>1.8E-3</v>
      </c>
      <c r="I18" s="17">
        <f>IF(A18="COMPOSICAO",VLOOKUP("TOTAL - "&amp;B18,COMPOSICAO_AUX_5!$A:$J,10,FALSE),VLOOKUP(B18,I!$A:$D,4,FALSE))</f>
        <v>35.9</v>
      </c>
      <c r="J18" s="80">
        <f t="shared" si="0"/>
        <v>0.06</v>
      </c>
      <c r="K18" s="81"/>
    </row>
    <row r="19" spans="1:13" ht="30" customHeight="1" x14ac:dyDescent="0.25">
      <c r="A19" s="16" t="s">
        <v>306</v>
      </c>
      <c r="B19" s="16" t="s">
        <v>530</v>
      </c>
      <c r="C19" s="77" t="str">
        <f>VLOOKUP(B19,IF(A19="COMPOSICAO",S!$A:$D,I!$A:$D),2,FALSE)</f>
        <v>REFEIÇÃO - CAFÉ DA MANHÃ ( CAFÉ COM LEITE E DOIS PÃES COM MANTEIGA)</v>
      </c>
      <c r="D19" s="77"/>
      <c r="E19" s="77"/>
      <c r="F19" s="77"/>
      <c r="G19" s="16" t="str">
        <f>VLOOKUP(B19,IF(A19="COMPOSICAO",S!$A:$D,I!$A:$D),3,FALSE)</f>
        <v>UN</v>
      </c>
      <c r="H19" s="29">
        <v>0.1018</v>
      </c>
      <c r="I19" s="17">
        <f>IF(A19="COMPOSICAO",VLOOKUP("TOTAL - "&amp;B19,COMPOSICAO_AUX_5!$A:$J,10,FALSE),VLOOKUP(B19,I!$A:$D,4,FALSE))</f>
        <v>4.5</v>
      </c>
      <c r="J19" s="80">
        <f t="shared" si="0"/>
        <v>0.45</v>
      </c>
      <c r="K19" s="81"/>
    </row>
    <row r="20" spans="1:13" ht="15" customHeight="1" x14ac:dyDescent="0.25">
      <c r="A20" s="16" t="s">
        <v>306</v>
      </c>
      <c r="B20" s="16" t="s">
        <v>531</v>
      </c>
      <c r="C20" s="77" t="str">
        <f>VLOOKUP(B20,IF(A20="COMPOSICAO",S!$A:$D,I!$A:$D),2,FALSE)</f>
        <v>PÁ QUADRADA</v>
      </c>
      <c r="D20" s="77"/>
      <c r="E20" s="77"/>
      <c r="F20" s="77"/>
      <c r="G20" s="16" t="str">
        <f>VLOOKUP(B20,IF(A20="COMPOSICAO",S!$A:$D,I!$A:$D),3,FALSE)</f>
        <v>UN</v>
      </c>
      <c r="H20" s="29">
        <v>2.0000000000000001E-4</v>
      </c>
      <c r="I20" s="17">
        <f>IF(A20="COMPOSICAO",VLOOKUP("TOTAL - "&amp;B20,COMPOSICAO_AUX_5!$A:$J,10,FALSE),VLOOKUP(B20,I!$A:$D,4,FALSE))</f>
        <v>17.29</v>
      </c>
      <c r="J20" s="80">
        <f t="shared" si="0"/>
        <v>0</v>
      </c>
      <c r="K20" s="81"/>
    </row>
    <row r="21" spans="1:13" ht="30" customHeight="1" x14ac:dyDescent="0.25">
      <c r="A21" s="16" t="s">
        <v>306</v>
      </c>
      <c r="B21" s="20">
        <v>2711</v>
      </c>
      <c r="C21" s="77" t="str">
        <f>VLOOKUP(B21,IF(A21="COMPOSICAO",S!$A:$D,I!$A:$D),2,FALSE)</f>
        <v>CARRINHO DE MAO DE ACO CAPACIDADE 50 A 60 L, PNEU COM CAMARA</v>
      </c>
      <c r="D21" s="77"/>
      <c r="E21" s="77"/>
      <c r="F21" s="77"/>
      <c r="G21" s="16" t="str">
        <f>VLOOKUP(B21,IF(A21="COMPOSICAO",S!$A:$D,I!$A:$D),3,FALSE)</f>
        <v>UN</v>
      </c>
      <c r="H21" s="29">
        <v>2.0000000000000001E-4</v>
      </c>
      <c r="I21" s="17">
        <f>IF(A21="COMPOSICAO",VLOOKUP("TOTAL - "&amp;B21,COMPOSICAO_AUX_5!$A:$J,10,FALSE),VLOOKUP(B21,I!$A:$D,4,FALSE))</f>
        <v>127.67</v>
      </c>
      <c r="J21" s="80">
        <f t="shared" si="0"/>
        <v>0.02</v>
      </c>
      <c r="K21" s="81"/>
    </row>
    <row r="22" spans="1:13" ht="30" customHeight="1" x14ac:dyDescent="0.25">
      <c r="A22" s="16" t="s">
        <v>306</v>
      </c>
      <c r="B22" s="20">
        <v>12892</v>
      </c>
      <c r="C22" s="77" t="str">
        <f>VLOOKUP(B22,IF(A22="COMPOSICAO",S!$A:$D,I!$A:$D),2,FALSE)</f>
        <v>LUVA RASPA DE COURO, CANO CURTO (PUNHO *7* CM)</v>
      </c>
      <c r="D22" s="77"/>
      <c r="E22" s="77"/>
      <c r="F22" s="77"/>
      <c r="G22" s="16" t="str">
        <f>VLOOKUP(B22,IF(A22="COMPOSICAO",S!$A:$D,I!$A:$D),3,FALSE)</f>
        <v>PAR</v>
      </c>
      <c r="H22" s="29">
        <v>2.3E-3</v>
      </c>
      <c r="I22" s="17">
        <f>IF(A22="COMPOSICAO",VLOOKUP("TOTAL - "&amp;B22,COMPOSICAO_AUX_5!$A:$J,10,FALSE),VLOOKUP(B22,I!$A:$D,4,FALSE))</f>
        <v>12.91</v>
      </c>
      <c r="J22" s="80">
        <f t="shared" si="0"/>
        <v>0.02</v>
      </c>
      <c r="K22" s="81"/>
    </row>
    <row r="23" spans="1:13" ht="30" customHeight="1" x14ac:dyDescent="0.25">
      <c r="A23" s="16" t="s">
        <v>306</v>
      </c>
      <c r="B23" s="20">
        <v>12893</v>
      </c>
      <c r="C23" s="77" t="str">
        <f>VLOOKUP(B23,IF(A23="COMPOSICAO",S!$A:$D,I!$A:$D),2,FALSE)</f>
        <v>BOTA DE SEGURANCA COM BIQUEIRA DE ACO E COLARINHO ACOLCHOADO</v>
      </c>
      <c r="D23" s="77"/>
      <c r="E23" s="77"/>
      <c r="F23" s="77"/>
      <c r="G23" s="16" t="str">
        <f>VLOOKUP(B23,IF(A23="COMPOSICAO",S!$A:$D,I!$A:$D),3,FALSE)</f>
        <v>PAR</v>
      </c>
      <c r="H23" s="29">
        <v>8.0000000000000004E-4</v>
      </c>
      <c r="I23" s="17">
        <f>IF(A23="COMPOSICAO",VLOOKUP("TOTAL - "&amp;B23,COMPOSICAO_AUX_5!$A:$J,10,FALSE),VLOOKUP(B23,I!$A:$D,4,FALSE))</f>
        <v>68.88</v>
      </c>
      <c r="J23" s="80">
        <f t="shared" si="0"/>
        <v>0.05</v>
      </c>
      <c r="K23" s="81"/>
    </row>
    <row r="24" spans="1:13" ht="30" customHeight="1" x14ac:dyDescent="0.25">
      <c r="A24" s="16" t="s">
        <v>306</v>
      </c>
      <c r="B24" s="20">
        <v>12894</v>
      </c>
      <c r="C24" s="77" t="str">
        <f>VLOOKUP(B24,IF(A24="COMPOSICAO",S!$A:$D,I!$A:$D),2,FALSE)</f>
        <v>CAPA PARA CHUVA EM PVC COM FORRO DE POLIESTER, COM CAPUZ (AMARELA OU AZUL)</v>
      </c>
      <c r="D24" s="77"/>
      <c r="E24" s="77"/>
      <c r="F24" s="77"/>
      <c r="G24" s="16" t="str">
        <f>VLOOKUP(B24,IF(A24="COMPOSICAO",S!$A:$D,I!$A:$D),3,FALSE)</f>
        <v>UN</v>
      </c>
      <c r="H24" s="29">
        <v>2.0000000000000001E-4</v>
      </c>
      <c r="I24" s="17">
        <f>IF(A24="COMPOSICAO",VLOOKUP("TOTAL - "&amp;B24,COMPOSICAO_AUX_5!$A:$J,10,FALSE),VLOOKUP(B24,I!$A:$D,4,FALSE))</f>
        <v>18.649999999999999</v>
      </c>
      <c r="J24" s="80">
        <f t="shared" si="0"/>
        <v>0</v>
      </c>
      <c r="K24" s="81"/>
    </row>
    <row r="25" spans="1:13" ht="30" customHeight="1" x14ac:dyDescent="0.25">
      <c r="A25" s="16" t="s">
        <v>306</v>
      </c>
      <c r="B25" s="20">
        <v>12895</v>
      </c>
      <c r="C25" s="77" t="str">
        <f>VLOOKUP(B25,IF(A25="COMPOSICAO",S!$A:$D,I!$A:$D),2,FALSE)</f>
        <v>CAPACETE DE SEGURANCA ABA FRONTAL COM SUSPENSAO DE POLIETILENO, SEM JUGULAR (CLASSE B)</v>
      </c>
      <c r="D25" s="77"/>
      <c r="E25" s="77"/>
      <c r="F25" s="77"/>
      <c r="G25" s="16" t="str">
        <f>VLOOKUP(B25,IF(A25="COMPOSICAO",S!$A:$D,I!$A:$D),3,FALSE)</f>
        <v>UN</v>
      </c>
      <c r="H25" s="29">
        <v>5.9999999999999995E-4</v>
      </c>
      <c r="I25" s="17">
        <f>IF(A25="COMPOSICAO",VLOOKUP("TOTAL - "&amp;B25,COMPOSICAO_AUX_5!$A:$J,10,FALSE),VLOOKUP(B25,I!$A:$D,4,FALSE))</f>
        <v>14.35</v>
      </c>
      <c r="J25" s="80">
        <f t="shared" si="0"/>
        <v>0</v>
      </c>
      <c r="K25" s="81"/>
    </row>
    <row r="26" spans="1:13" ht="15" customHeight="1" x14ac:dyDescent="0.25">
      <c r="A26" s="23" t="s">
        <v>532</v>
      </c>
      <c r="B26" s="24"/>
      <c r="C26" s="24"/>
      <c r="D26" s="24"/>
      <c r="E26" s="24"/>
      <c r="F26" s="24"/>
      <c r="G26" s="25"/>
      <c r="H26" s="26"/>
      <c r="I26" s="27"/>
      <c r="J26" s="80">
        <f>SUM(J7:K25)</f>
        <v>2.9100000000000006</v>
      </c>
      <c r="K26" s="81"/>
    </row>
    <row r="27" spans="1:13" ht="15" customHeight="1" x14ac:dyDescent="0.25">
      <c r="A27" s="3"/>
      <c r="B27" s="3"/>
      <c r="C27" s="3"/>
      <c r="D27" s="3"/>
      <c r="E27" s="3"/>
      <c r="F27" s="3"/>
      <c r="G27" s="3"/>
      <c r="H27" s="3"/>
      <c r="I27" s="3"/>
      <c r="J27" s="3"/>
      <c r="K27" s="3"/>
    </row>
    <row r="28" spans="1:13" ht="15" customHeight="1" x14ac:dyDescent="0.25">
      <c r="A28" s="10" t="s">
        <v>295</v>
      </c>
      <c r="B28" s="10" t="s">
        <v>31</v>
      </c>
      <c r="C28" s="82" t="s">
        <v>7</v>
      </c>
      <c r="D28" s="83"/>
      <c r="E28" s="83"/>
      <c r="F28" s="83"/>
      <c r="G28" s="6" t="s">
        <v>32</v>
      </c>
      <c r="H28" s="6" t="s">
        <v>296</v>
      </c>
      <c r="I28" s="6" t="s">
        <v>297</v>
      </c>
      <c r="J28" s="57" t="s">
        <v>9</v>
      </c>
      <c r="K28" s="58"/>
    </row>
    <row r="29" spans="1:13" ht="15" customHeight="1" x14ac:dyDescent="0.25">
      <c r="A29" s="6" t="s">
        <v>11</v>
      </c>
      <c r="B29" s="6" t="s">
        <v>383</v>
      </c>
      <c r="C29" s="91" t="str">
        <f>VLOOKUP(B29,S!$A:$D,2,FALSE)</f>
        <v>ENCARGOS COMPLEMENTARES - PEDREIRO</v>
      </c>
      <c r="D29" s="91"/>
      <c r="E29" s="91"/>
      <c r="F29" s="92"/>
      <c r="G29" s="6" t="str">
        <f>VLOOKUP(B29,S!$A:$D,3,FALSE)</f>
        <v>H</v>
      </c>
      <c r="H29" s="21"/>
      <c r="I29" s="21">
        <f>J55</f>
        <v>2.8000000000000003</v>
      </c>
      <c r="J29" s="76"/>
      <c r="K29" s="72"/>
      <c r="L29" s="21">
        <f>VLOOKUP(B29,S!$A:$D,4,FALSE)</f>
        <v>2.89</v>
      </c>
      <c r="M29" s="6" t="str">
        <f>IF(ROUND((L29-I29),2)=0,"OK, confere com a tabela.",IF(ROUND((L29-I29),2)&lt;0,"ACIMA ("&amp;TEXT(ROUND(I29*100/L29,4),"0,0000")&amp;" %) da tabela.","ABAIXO ("&amp;TEXT(ROUND(I29*100/L29,4),"0,0000")&amp;" %) da tabela."))</f>
        <v>ABAIXO (96,8858 %) da tabela.</v>
      </c>
    </row>
    <row r="30" spans="1:13" ht="15" customHeight="1" x14ac:dyDescent="0.25">
      <c r="A30" s="16" t="s">
        <v>306</v>
      </c>
      <c r="B30" s="16" t="s">
        <v>519</v>
      </c>
      <c r="C30" s="77" t="str">
        <f>VLOOKUP(B30,IF(A30="COMPOSICAO",S!$A:$D,I!$A:$D),2,FALSE)</f>
        <v>ALMOÇO (PARTICIPAÇÃO DO EMPREGADOR)</v>
      </c>
      <c r="D30" s="77"/>
      <c r="E30" s="77"/>
      <c r="F30" s="77"/>
      <c r="G30" s="16" t="str">
        <f>VLOOKUP(B30,IF(A30="COMPOSICAO",S!$A:$D,I!$A:$D),3,FALSE)</f>
        <v>UN</v>
      </c>
      <c r="H30" s="29">
        <v>0.1018</v>
      </c>
      <c r="I30" s="17">
        <f>IF(A30="COMPOSICAO",VLOOKUP("TOTAL - "&amp;B30,COMPOSICAO_AUX_5!$A:$J,10,FALSE),VLOOKUP(B30,I!$A:$D,4,FALSE))</f>
        <v>10</v>
      </c>
      <c r="J30" s="80">
        <f t="shared" ref="J30:J54" si="1">TRUNC(H30*I30,2)</f>
        <v>1.01</v>
      </c>
      <c r="K30" s="81"/>
    </row>
    <row r="31" spans="1:13" ht="15" customHeight="1" x14ac:dyDescent="0.25">
      <c r="A31" s="16" t="s">
        <v>306</v>
      </c>
      <c r="B31" s="16" t="s">
        <v>520</v>
      </c>
      <c r="C31" s="77" t="str">
        <f>VLOOKUP(B31,IF(A31="COMPOSICAO",S!$A:$D,I!$A:$D),2,FALSE)</f>
        <v>FARDAMENTO</v>
      </c>
      <c r="D31" s="77"/>
      <c r="E31" s="77"/>
      <c r="F31" s="77"/>
      <c r="G31" s="16" t="str">
        <f>VLOOKUP(B31,IF(A31="COMPOSICAO",S!$A:$D,I!$A:$D),3,FALSE)</f>
        <v>UN</v>
      </c>
      <c r="H31" s="29">
        <v>1.5E-3</v>
      </c>
      <c r="I31" s="17">
        <f>IF(A31="COMPOSICAO",VLOOKUP("TOTAL - "&amp;B31,COMPOSICAO_AUX_5!$A:$J,10,FALSE),VLOOKUP(B31,I!$A:$D,4,FALSE))</f>
        <v>78.53</v>
      </c>
      <c r="J31" s="80">
        <f t="shared" si="1"/>
        <v>0.11</v>
      </c>
      <c r="K31" s="81"/>
    </row>
    <row r="32" spans="1:13" ht="15" customHeight="1" x14ac:dyDescent="0.25">
      <c r="A32" s="16" t="s">
        <v>306</v>
      </c>
      <c r="B32" s="16" t="s">
        <v>521</v>
      </c>
      <c r="C32" s="77" t="str">
        <f>VLOOKUP(B32,IF(A32="COMPOSICAO",S!$A:$D,I!$A:$D),2,FALSE)</f>
        <v>ÓCULOS BRANCO PROTEÇÃO</v>
      </c>
      <c r="D32" s="77"/>
      <c r="E32" s="77"/>
      <c r="F32" s="77"/>
      <c r="G32" s="16" t="str">
        <f>VLOOKUP(B32,IF(A32="COMPOSICAO",S!$A:$D,I!$A:$D),3,FALSE)</f>
        <v>PR</v>
      </c>
      <c r="H32" s="29">
        <v>8.0000000000000004E-4</v>
      </c>
      <c r="I32" s="17">
        <f>IF(A32="COMPOSICAO",VLOOKUP("TOTAL - "&amp;B32,COMPOSICAO_AUX_5!$A:$J,10,FALSE),VLOOKUP(B32,I!$A:$D,4,FALSE))</f>
        <v>5.9</v>
      </c>
      <c r="J32" s="80">
        <f t="shared" si="1"/>
        <v>0</v>
      </c>
      <c r="K32" s="81"/>
    </row>
    <row r="33" spans="1:11" ht="15" customHeight="1" x14ac:dyDescent="0.25">
      <c r="A33" s="16" t="s">
        <v>306</v>
      </c>
      <c r="B33" s="16" t="s">
        <v>522</v>
      </c>
      <c r="C33" s="77" t="str">
        <f>VLOOKUP(B33,IF(A33="COMPOSICAO",S!$A:$D,I!$A:$D),2,FALSE)</f>
        <v>VALE TRANSPORTE</v>
      </c>
      <c r="D33" s="77"/>
      <c r="E33" s="77"/>
      <c r="F33" s="77"/>
      <c r="G33" s="16" t="str">
        <f>VLOOKUP(B33,IF(A33="COMPOSICAO",S!$A:$D,I!$A:$D),3,FALSE)</f>
        <v>UN</v>
      </c>
      <c r="H33" s="29">
        <v>6.54E-2</v>
      </c>
      <c r="I33" s="17">
        <f>IF(A33="COMPOSICAO",VLOOKUP("TOTAL - "&amp;B33,COMPOSICAO_AUX_5!$A:$J,10,FALSE),VLOOKUP(B33,I!$A:$D,4,FALSE))</f>
        <v>4</v>
      </c>
      <c r="J33" s="80">
        <f t="shared" si="1"/>
        <v>0.26</v>
      </c>
      <c r="K33" s="81"/>
    </row>
    <row r="34" spans="1:11" ht="30" customHeight="1" x14ac:dyDescent="0.25">
      <c r="A34" s="16" t="s">
        <v>306</v>
      </c>
      <c r="B34" s="16" t="s">
        <v>617</v>
      </c>
      <c r="C34" s="77" t="str">
        <f>VLOOKUP(B34,IF(A34="COMPOSICAO",S!$A:$D,I!$A:$D),2,FALSE)</f>
        <v>DESEMPENADEIRA DE AÇO LISA, CABO MADEIRA, REF:143, ATLAS OU SIMILAR</v>
      </c>
      <c r="D34" s="77"/>
      <c r="E34" s="77"/>
      <c r="F34" s="77"/>
      <c r="G34" s="16" t="str">
        <f>VLOOKUP(B34,IF(A34="COMPOSICAO",S!$A:$D,I!$A:$D),3,FALSE)</f>
        <v>UN</v>
      </c>
      <c r="H34" s="29">
        <v>5.0000000000000001E-4</v>
      </c>
      <c r="I34" s="17">
        <f>IF(A34="COMPOSICAO",VLOOKUP("TOTAL - "&amp;B34,COMPOSICAO_AUX_5!$A:$J,10,FALSE),VLOOKUP(B34,I!$A:$D,4,FALSE))</f>
        <v>10.8</v>
      </c>
      <c r="J34" s="80">
        <f t="shared" si="1"/>
        <v>0</v>
      </c>
      <c r="K34" s="81"/>
    </row>
    <row r="35" spans="1:11" ht="15" customHeight="1" x14ac:dyDescent="0.25">
      <c r="A35" s="16" t="s">
        <v>306</v>
      </c>
      <c r="B35" s="16" t="s">
        <v>618</v>
      </c>
      <c r="C35" s="77" t="str">
        <f>VLOOKUP(B35,IF(A35="COMPOSICAO",S!$A:$D,I!$A:$D),2,FALSE)</f>
        <v>COLHER DE PEDREIRO</v>
      </c>
      <c r="D35" s="77"/>
      <c r="E35" s="77"/>
      <c r="F35" s="77"/>
      <c r="G35" s="16" t="str">
        <f>VLOOKUP(B35,IF(A35="COMPOSICAO",S!$A:$D,I!$A:$D),3,FALSE)</f>
        <v>UN</v>
      </c>
      <c r="H35" s="29">
        <v>4.0000000000000002E-4</v>
      </c>
      <c r="I35" s="17">
        <f>IF(A35="COMPOSICAO",VLOOKUP("TOTAL - "&amp;B35,COMPOSICAO_AUX_5!$A:$J,10,FALSE),VLOOKUP(B35,I!$A:$D,4,FALSE))</f>
        <v>16.79</v>
      </c>
      <c r="J35" s="80">
        <f t="shared" si="1"/>
        <v>0</v>
      </c>
      <c r="K35" s="81"/>
    </row>
    <row r="36" spans="1:11" ht="15" customHeight="1" x14ac:dyDescent="0.25">
      <c r="A36" s="16" t="s">
        <v>306</v>
      </c>
      <c r="B36" s="16" t="s">
        <v>619</v>
      </c>
      <c r="C36" s="77" t="str">
        <f>VLOOKUP(B36,IF(A36="COMPOSICAO",S!$A:$D,I!$A:$D),2,FALSE)</f>
        <v>REGUA DE ALUMÍNIO C/ 2,00M (PARA PEDREIRO)</v>
      </c>
      <c r="D36" s="77"/>
      <c r="E36" s="77"/>
      <c r="F36" s="77"/>
      <c r="G36" s="16" t="str">
        <f>VLOOKUP(B36,IF(A36="COMPOSICAO",S!$A:$D,I!$A:$D),3,FALSE)</f>
        <v>UN</v>
      </c>
      <c r="H36" s="29">
        <v>2.0000000000000001E-4</v>
      </c>
      <c r="I36" s="17">
        <f>IF(A36="COMPOSICAO",VLOOKUP("TOTAL - "&amp;B36,COMPOSICAO_AUX_5!$A:$J,10,FALSE),VLOOKUP(B36,I!$A:$D,4,FALSE))</f>
        <v>16.7</v>
      </c>
      <c r="J36" s="80">
        <f t="shared" si="1"/>
        <v>0</v>
      </c>
      <c r="K36" s="81"/>
    </row>
    <row r="37" spans="1:11" ht="15" customHeight="1" x14ac:dyDescent="0.25">
      <c r="A37" s="16" t="s">
        <v>306</v>
      </c>
      <c r="B37" s="16" t="s">
        <v>525</v>
      </c>
      <c r="C37" s="77" t="str">
        <f>VLOOKUP(B37,IF(A37="COMPOSICAO",S!$A:$D,I!$A:$D),2,FALSE)</f>
        <v>SEGURO DE VIDA E ACIDENTE EM GRUPO</v>
      </c>
      <c r="D37" s="77"/>
      <c r="E37" s="77"/>
      <c r="F37" s="77"/>
      <c r="G37" s="16" t="str">
        <f>VLOOKUP(B37,IF(A37="COMPOSICAO",S!$A:$D,I!$A:$D),3,FALSE)</f>
        <v>UN</v>
      </c>
      <c r="H37" s="29">
        <v>4.4999999999999997E-3</v>
      </c>
      <c r="I37" s="17">
        <f>IF(A37="COMPOSICAO",VLOOKUP("TOTAL - "&amp;B37,COMPOSICAO_AUX_5!$A:$J,10,FALSE),VLOOKUP(B37,I!$A:$D,4,FALSE))</f>
        <v>12.54</v>
      </c>
      <c r="J37" s="80">
        <f t="shared" si="1"/>
        <v>0.05</v>
      </c>
      <c r="K37" s="81"/>
    </row>
    <row r="38" spans="1:11" ht="15" customHeight="1" x14ac:dyDescent="0.25">
      <c r="A38" s="16" t="s">
        <v>306</v>
      </c>
      <c r="B38" s="16" t="s">
        <v>526</v>
      </c>
      <c r="C38" s="77" t="str">
        <f>VLOOKUP(B38,IF(A38="COMPOSICAO",S!$A:$D,I!$A:$D),2,FALSE)</f>
        <v>CESTA BÁSICA</v>
      </c>
      <c r="D38" s="77"/>
      <c r="E38" s="77"/>
      <c r="F38" s="77"/>
      <c r="G38" s="16" t="str">
        <f>VLOOKUP(B38,IF(A38="COMPOSICAO",S!$A:$D,I!$A:$D),3,FALSE)</f>
        <v>UN</v>
      </c>
      <c r="H38" s="29">
        <v>4.4999999999999997E-3</v>
      </c>
      <c r="I38" s="17">
        <f>IF(A38="COMPOSICAO",VLOOKUP("TOTAL - "&amp;B38,COMPOSICAO_AUX_5!$A:$J,10,FALSE),VLOOKUP(B38,I!$A:$D,4,FALSE))</f>
        <v>140</v>
      </c>
      <c r="J38" s="80">
        <f t="shared" si="1"/>
        <v>0.63</v>
      </c>
      <c r="K38" s="81"/>
    </row>
    <row r="39" spans="1:11" ht="15" customHeight="1" x14ac:dyDescent="0.25">
      <c r="A39" s="16" t="s">
        <v>306</v>
      </c>
      <c r="B39" s="16" t="s">
        <v>527</v>
      </c>
      <c r="C39" s="77" t="str">
        <f>VLOOKUP(B39,IF(A39="COMPOSICAO",S!$A:$D,I!$A:$D),2,FALSE)</f>
        <v>EXAMES ADMISSIONAIS/DEMISSIONAIS (CHECKUP)</v>
      </c>
      <c r="D39" s="77"/>
      <c r="E39" s="77"/>
      <c r="F39" s="77"/>
      <c r="G39" s="16" t="str">
        <f>VLOOKUP(B39,IF(A39="COMPOSICAO",S!$A:$D,I!$A:$D),3,FALSE)</f>
        <v>CJ</v>
      </c>
      <c r="H39" s="29">
        <v>4.0000000000000002E-4</v>
      </c>
      <c r="I39" s="17">
        <f>IF(A39="COMPOSICAO",VLOOKUP("TOTAL - "&amp;B39,COMPOSICAO_AUX_5!$A:$J,10,FALSE),VLOOKUP(B39,I!$A:$D,4,FALSE))</f>
        <v>300</v>
      </c>
      <c r="J39" s="80">
        <f t="shared" si="1"/>
        <v>0.12</v>
      </c>
      <c r="K39" s="81"/>
    </row>
    <row r="40" spans="1:11" ht="15" customHeight="1" x14ac:dyDescent="0.25">
      <c r="A40" s="16" t="s">
        <v>306</v>
      </c>
      <c r="B40" s="16" t="s">
        <v>528</v>
      </c>
      <c r="C40" s="77" t="str">
        <f>VLOOKUP(B40,IF(A40="COMPOSICAO",S!$A:$D,I!$A:$D),2,FALSE)</f>
        <v>PROTETOR AURICULAR</v>
      </c>
      <c r="D40" s="77"/>
      <c r="E40" s="77"/>
      <c r="F40" s="77"/>
      <c r="G40" s="16" t="str">
        <f>VLOOKUP(B40,IF(A40="COMPOSICAO",S!$A:$D,I!$A:$D),3,FALSE)</f>
        <v>UN</v>
      </c>
      <c r="H40" s="29">
        <v>4.4999999999999997E-3</v>
      </c>
      <c r="I40" s="17">
        <f>IF(A40="COMPOSICAO",VLOOKUP("TOTAL - "&amp;B40,COMPOSICAO_AUX_5!$A:$J,10,FALSE),VLOOKUP(B40,I!$A:$D,4,FALSE))</f>
        <v>4.9000000000000004</v>
      </c>
      <c r="J40" s="80">
        <f t="shared" si="1"/>
        <v>0.02</v>
      </c>
      <c r="K40" s="81"/>
    </row>
    <row r="41" spans="1:11" ht="15" customHeight="1" x14ac:dyDescent="0.25">
      <c r="A41" s="16" t="s">
        <v>306</v>
      </c>
      <c r="B41" s="16" t="s">
        <v>529</v>
      </c>
      <c r="C41" s="77" t="str">
        <f>VLOOKUP(B41,IF(A41="COMPOSICAO",S!$A:$D,I!$A:$D),2,FALSE)</f>
        <v>PROTETOR SOLAR FPS 30 COM 120ML</v>
      </c>
      <c r="D41" s="77"/>
      <c r="E41" s="77"/>
      <c r="F41" s="77"/>
      <c r="G41" s="16" t="str">
        <f>VLOOKUP(B41,IF(A41="COMPOSICAO",S!$A:$D,I!$A:$D),3,FALSE)</f>
        <v>UN</v>
      </c>
      <c r="H41" s="29">
        <v>1.8E-3</v>
      </c>
      <c r="I41" s="17">
        <f>IF(A41="COMPOSICAO",VLOOKUP("TOTAL - "&amp;B41,COMPOSICAO_AUX_5!$A:$J,10,FALSE),VLOOKUP(B41,I!$A:$D,4,FALSE))</f>
        <v>35.9</v>
      </c>
      <c r="J41" s="80">
        <f t="shared" si="1"/>
        <v>0.06</v>
      </c>
      <c r="K41" s="81"/>
    </row>
    <row r="42" spans="1:11" ht="30" customHeight="1" x14ac:dyDescent="0.25">
      <c r="A42" s="16" t="s">
        <v>306</v>
      </c>
      <c r="B42" s="16" t="s">
        <v>530</v>
      </c>
      <c r="C42" s="77" t="str">
        <f>VLOOKUP(B42,IF(A42="COMPOSICAO",S!$A:$D,I!$A:$D),2,FALSE)</f>
        <v>REFEIÇÃO - CAFÉ DA MANHÃ ( CAFÉ COM LEITE E DOIS PÃES COM MANTEIGA)</v>
      </c>
      <c r="D42" s="77"/>
      <c r="E42" s="77"/>
      <c r="F42" s="77"/>
      <c r="G42" s="16" t="str">
        <f>VLOOKUP(B42,IF(A42="COMPOSICAO",S!$A:$D,I!$A:$D),3,FALSE)</f>
        <v>UN</v>
      </c>
      <c r="H42" s="29">
        <v>0.1018</v>
      </c>
      <c r="I42" s="17">
        <f>IF(A42="COMPOSICAO",VLOOKUP("TOTAL - "&amp;B42,COMPOSICAO_AUX_5!$A:$J,10,FALSE),VLOOKUP(B42,I!$A:$D,4,FALSE))</f>
        <v>4.5</v>
      </c>
      <c r="J42" s="80">
        <f t="shared" si="1"/>
        <v>0.45</v>
      </c>
      <c r="K42" s="81"/>
    </row>
    <row r="43" spans="1:11" ht="15" customHeight="1" x14ac:dyDescent="0.25">
      <c r="A43" s="16" t="s">
        <v>306</v>
      </c>
      <c r="B43" s="16" t="s">
        <v>620</v>
      </c>
      <c r="C43" s="77" t="str">
        <f>VLOOKUP(B43,IF(A43="COMPOSICAO",S!$A:$D,I!$A:$D),2,FALSE)</f>
        <v>NÍVEL DE BOLHA DE MADEIRA</v>
      </c>
      <c r="D43" s="77"/>
      <c r="E43" s="77"/>
      <c r="F43" s="77"/>
      <c r="G43" s="16" t="str">
        <f>VLOOKUP(B43,IF(A43="COMPOSICAO",S!$A:$D,I!$A:$D),3,FALSE)</f>
        <v>UN</v>
      </c>
      <c r="H43" s="29">
        <v>2.0000000000000001E-4</v>
      </c>
      <c r="I43" s="17">
        <f>IF(A43="COMPOSICAO",VLOOKUP("TOTAL - "&amp;B43,COMPOSICAO_AUX_5!$A:$J,10,FALSE),VLOOKUP(B43,I!$A:$D,4,FALSE))</f>
        <v>15.9</v>
      </c>
      <c r="J43" s="80">
        <f t="shared" si="1"/>
        <v>0</v>
      </c>
      <c r="K43" s="81"/>
    </row>
    <row r="44" spans="1:11" ht="15" customHeight="1" x14ac:dyDescent="0.25">
      <c r="A44" s="16" t="s">
        <v>306</v>
      </c>
      <c r="B44" s="16" t="s">
        <v>621</v>
      </c>
      <c r="C44" s="77" t="str">
        <f>VLOOKUP(B44,IF(A44="COMPOSICAO",S!$A:$D,I!$A:$D),2,FALSE)</f>
        <v>PRUMO DE FACE</v>
      </c>
      <c r="D44" s="77"/>
      <c r="E44" s="77"/>
      <c r="F44" s="77"/>
      <c r="G44" s="16" t="str">
        <f>VLOOKUP(B44,IF(A44="COMPOSICAO",S!$A:$D,I!$A:$D),3,FALSE)</f>
        <v>UN</v>
      </c>
      <c r="H44" s="29">
        <v>1E-4</v>
      </c>
      <c r="I44" s="17">
        <f>IF(A44="COMPOSICAO",VLOOKUP("TOTAL - "&amp;B44,COMPOSICAO_AUX_5!$A:$J,10,FALSE),VLOOKUP(B44,I!$A:$D,4,FALSE))</f>
        <v>21</v>
      </c>
      <c r="J44" s="80">
        <f t="shared" si="1"/>
        <v>0</v>
      </c>
      <c r="K44" s="81"/>
    </row>
    <row r="45" spans="1:11" ht="15" customHeight="1" x14ac:dyDescent="0.25">
      <c r="A45" s="16" t="s">
        <v>306</v>
      </c>
      <c r="B45" s="16" t="s">
        <v>622</v>
      </c>
      <c r="C45" s="77" t="str">
        <f>VLOOKUP(B45,IF(A45="COMPOSICAO",S!$A:$D,I!$A:$D),2,FALSE)</f>
        <v>MARTELO SEM UNHA</v>
      </c>
      <c r="D45" s="77"/>
      <c r="E45" s="77"/>
      <c r="F45" s="77"/>
      <c r="G45" s="16" t="str">
        <f>VLOOKUP(B45,IF(A45="COMPOSICAO",S!$A:$D,I!$A:$D),3,FALSE)</f>
        <v>UN</v>
      </c>
      <c r="H45" s="29">
        <v>1E-4</v>
      </c>
      <c r="I45" s="17">
        <f>IF(A45="COMPOSICAO",VLOOKUP("TOTAL - "&amp;B45,COMPOSICAO_AUX_5!$A:$J,10,FALSE),VLOOKUP(B45,I!$A:$D,4,FALSE))</f>
        <v>16.55</v>
      </c>
      <c r="J45" s="80">
        <f t="shared" si="1"/>
        <v>0</v>
      </c>
      <c r="K45" s="81"/>
    </row>
    <row r="46" spans="1:11" ht="15" customHeight="1" x14ac:dyDescent="0.25">
      <c r="A46" s="16" t="s">
        <v>306</v>
      </c>
      <c r="B46" s="16" t="s">
        <v>623</v>
      </c>
      <c r="C46" s="77" t="str">
        <f>VLOOKUP(B46,IF(A46="COMPOSICAO",S!$A:$D,I!$A:$D),2,FALSE)</f>
        <v>DESEMPOLADEIRA DE MADEIRA 12X22</v>
      </c>
      <c r="D46" s="77"/>
      <c r="E46" s="77"/>
      <c r="F46" s="77"/>
      <c r="G46" s="16" t="str">
        <f>VLOOKUP(B46,IF(A46="COMPOSICAO",S!$A:$D,I!$A:$D),3,FALSE)</f>
        <v>UN</v>
      </c>
      <c r="H46" s="29">
        <v>6.9999999999999999E-4</v>
      </c>
      <c r="I46" s="17">
        <f>IF(A46="COMPOSICAO",VLOOKUP("TOTAL - "&amp;B46,COMPOSICAO_AUX_5!$A:$J,10,FALSE),VLOOKUP(B46,I!$A:$D,4,FALSE))</f>
        <v>11.26</v>
      </c>
      <c r="J46" s="80">
        <f t="shared" si="1"/>
        <v>0</v>
      </c>
      <c r="K46" s="81"/>
    </row>
    <row r="47" spans="1:11" ht="15" customHeight="1" x14ac:dyDescent="0.25">
      <c r="A47" s="16" t="s">
        <v>306</v>
      </c>
      <c r="B47" s="16" t="s">
        <v>624</v>
      </c>
      <c r="C47" s="77" t="str">
        <f>VLOOKUP(B47,IF(A47="COMPOSICAO",S!$A:$D,I!$A:$D),2,FALSE)</f>
        <v>ESCALA MÉTRICA DE BAMBÚ</v>
      </c>
      <c r="D47" s="77"/>
      <c r="E47" s="77"/>
      <c r="F47" s="77"/>
      <c r="G47" s="16" t="str">
        <f>VLOOKUP(B47,IF(A47="COMPOSICAO",S!$A:$D,I!$A:$D),3,FALSE)</f>
        <v>UN</v>
      </c>
      <c r="H47" s="29">
        <v>6.9999999999999999E-4</v>
      </c>
      <c r="I47" s="17">
        <f>IF(A47="COMPOSICAO",VLOOKUP("TOTAL - "&amp;B47,COMPOSICAO_AUX_5!$A:$J,10,FALSE),VLOOKUP(B47,I!$A:$D,4,FALSE))</f>
        <v>9.0500000000000007</v>
      </c>
      <c r="J47" s="80">
        <f t="shared" si="1"/>
        <v>0</v>
      </c>
      <c r="K47" s="81"/>
    </row>
    <row r="48" spans="1:11" ht="15" customHeight="1" x14ac:dyDescent="0.25">
      <c r="A48" s="16" t="s">
        <v>306</v>
      </c>
      <c r="B48" s="16" t="s">
        <v>625</v>
      </c>
      <c r="C48" s="77" t="str">
        <f>VLOOKUP(B48,IF(A48="COMPOSICAO",S!$A:$D,I!$A:$D),2,FALSE)</f>
        <v>SERRA MÁRMORE</v>
      </c>
      <c r="D48" s="77"/>
      <c r="E48" s="77"/>
      <c r="F48" s="77"/>
      <c r="G48" s="16" t="str">
        <f>VLOOKUP(B48,IF(A48="COMPOSICAO",S!$A:$D,I!$A:$D),3,FALSE)</f>
        <v>UN</v>
      </c>
      <c r="H48" s="29">
        <v>1E-4</v>
      </c>
      <c r="I48" s="17">
        <f>IF(A48="COMPOSICAO",VLOOKUP("TOTAL - "&amp;B48,COMPOSICAO_AUX_5!$A:$J,10,FALSE),VLOOKUP(B48,I!$A:$D,4,FALSE))</f>
        <v>272.97000000000003</v>
      </c>
      <c r="J48" s="80">
        <f t="shared" si="1"/>
        <v>0.02</v>
      </c>
      <c r="K48" s="81"/>
    </row>
    <row r="49" spans="1:13" ht="15" customHeight="1" x14ac:dyDescent="0.25">
      <c r="A49" s="16" t="s">
        <v>306</v>
      </c>
      <c r="B49" s="16" t="s">
        <v>626</v>
      </c>
      <c r="C49" s="77" t="str">
        <f>VLOOKUP(B49,IF(A49="COMPOSICAO",S!$A:$D,I!$A:$D),2,FALSE)</f>
        <v>MARRETA DE 1/2 KG COM CABO</v>
      </c>
      <c r="D49" s="77"/>
      <c r="E49" s="77"/>
      <c r="F49" s="77"/>
      <c r="G49" s="16" t="str">
        <f>VLOOKUP(B49,IF(A49="COMPOSICAO",S!$A:$D,I!$A:$D),3,FALSE)</f>
        <v>UN</v>
      </c>
      <c r="H49" s="29">
        <v>2.0000000000000001E-4</v>
      </c>
      <c r="I49" s="17">
        <f>IF(A49="COMPOSICAO",VLOOKUP("TOTAL - "&amp;B49,COMPOSICAO_AUX_5!$A:$J,10,FALSE),VLOOKUP(B49,I!$A:$D,4,FALSE))</f>
        <v>13.52</v>
      </c>
      <c r="J49" s="80">
        <f t="shared" si="1"/>
        <v>0</v>
      </c>
      <c r="K49" s="81"/>
    </row>
    <row r="50" spans="1:13" ht="15" customHeight="1" x14ac:dyDescent="0.25">
      <c r="A50" s="16" t="s">
        <v>306</v>
      </c>
      <c r="B50" s="16" t="s">
        <v>627</v>
      </c>
      <c r="C50" s="77" t="str">
        <f>VLOOKUP(B50,IF(A50="COMPOSICAO",S!$A:$D,I!$A:$D),2,FALSE)</f>
        <v>MARTELO DE BORRACHA COM CABO</v>
      </c>
      <c r="D50" s="77"/>
      <c r="E50" s="77"/>
      <c r="F50" s="77"/>
      <c r="G50" s="16" t="str">
        <f>VLOOKUP(B50,IF(A50="COMPOSICAO",S!$A:$D,I!$A:$D),3,FALSE)</f>
        <v>UN</v>
      </c>
      <c r="H50" s="29">
        <v>4.0000000000000002E-4</v>
      </c>
      <c r="I50" s="17">
        <f>IF(A50="COMPOSICAO",VLOOKUP("TOTAL - "&amp;B50,COMPOSICAO_AUX_5!$A:$J,10,FALSE),VLOOKUP(B50,I!$A:$D,4,FALSE))</f>
        <v>11.5</v>
      </c>
      <c r="J50" s="80">
        <f t="shared" si="1"/>
        <v>0</v>
      </c>
      <c r="K50" s="81"/>
    </row>
    <row r="51" spans="1:13" ht="30" customHeight="1" x14ac:dyDescent="0.25">
      <c r="A51" s="16" t="s">
        <v>306</v>
      </c>
      <c r="B51" s="20">
        <v>12892</v>
      </c>
      <c r="C51" s="77" t="str">
        <f>VLOOKUP(B51,IF(A51="COMPOSICAO",S!$A:$D,I!$A:$D),2,FALSE)</f>
        <v>LUVA RASPA DE COURO, CANO CURTO (PUNHO *7* CM)</v>
      </c>
      <c r="D51" s="77"/>
      <c r="E51" s="77"/>
      <c r="F51" s="77"/>
      <c r="G51" s="16" t="str">
        <f>VLOOKUP(B51,IF(A51="COMPOSICAO",S!$A:$D,I!$A:$D),3,FALSE)</f>
        <v>PAR</v>
      </c>
      <c r="H51" s="29">
        <v>2.3E-3</v>
      </c>
      <c r="I51" s="17">
        <f>IF(A51="COMPOSICAO",VLOOKUP("TOTAL - "&amp;B51,COMPOSICAO_AUX_5!$A:$J,10,FALSE),VLOOKUP(B51,I!$A:$D,4,FALSE))</f>
        <v>12.91</v>
      </c>
      <c r="J51" s="80">
        <f t="shared" si="1"/>
        <v>0.02</v>
      </c>
      <c r="K51" s="81"/>
    </row>
    <row r="52" spans="1:13" ht="30" customHeight="1" x14ac:dyDescent="0.25">
      <c r="A52" s="16" t="s">
        <v>306</v>
      </c>
      <c r="B52" s="20">
        <v>12893</v>
      </c>
      <c r="C52" s="77" t="str">
        <f>VLOOKUP(B52,IF(A52="COMPOSICAO",S!$A:$D,I!$A:$D),2,FALSE)</f>
        <v>BOTA DE SEGURANCA COM BIQUEIRA DE ACO E COLARINHO ACOLCHOADO</v>
      </c>
      <c r="D52" s="77"/>
      <c r="E52" s="77"/>
      <c r="F52" s="77"/>
      <c r="G52" s="16" t="str">
        <f>VLOOKUP(B52,IF(A52="COMPOSICAO",S!$A:$D,I!$A:$D),3,FALSE)</f>
        <v>PAR</v>
      </c>
      <c r="H52" s="29">
        <v>8.0000000000000004E-4</v>
      </c>
      <c r="I52" s="17">
        <f>IF(A52="COMPOSICAO",VLOOKUP("TOTAL - "&amp;B52,COMPOSICAO_AUX_5!$A:$J,10,FALSE),VLOOKUP(B52,I!$A:$D,4,FALSE))</f>
        <v>68.88</v>
      </c>
      <c r="J52" s="80">
        <f t="shared" si="1"/>
        <v>0.05</v>
      </c>
      <c r="K52" s="81"/>
    </row>
    <row r="53" spans="1:13" ht="30" customHeight="1" x14ac:dyDescent="0.25">
      <c r="A53" s="16" t="s">
        <v>306</v>
      </c>
      <c r="B53" s="20">
        <v>12894</v>
      </c>
      <c r="C53" s="77" t="str">
        <f>VLOOKUP(B53,IF(A53="COMPOSICAO",S!$A:$D,I!$A:$D),2,FALSE)</f>
        <v>CAPA PARA CHUVA EM PVC COM FORRO DE POLIESTER, COM CAPUZ (AMARELA OU AZUL)</v>
      </c>
      <c r="D53" s="77"/>
      <c r="E53" s="77"/>
      <c r="F53" s="77"/>
      <c r="G53" s="16" t="str">
        <f>VLOOKUP(B53,IF(A53="COMPOSICAO",S!$A:$D,I!$A:$D),3,FALSE)</f>
        <v>UN</v>
      </c>
      <c r="H53" s="29">
        <v>2.0000000000000001E-4</v>
      </c>
      <c r="I53" s="17">
        <f>IF(A53="COMPOSICAO",VLOOKUP("TOTAL - "&amp;B53,COMPOSICAO_AUX_5!$A:$J,10,FALSE),VLOOKUP(B53,I!$A:$D,4,FALSE))</f>
        <v>18.649999999999999</v>
      </c>
      <c r="J53" s="80">
        <f t="shared" si="1"/>
        <v>0</v>
      </c>
      <c r="K53" s="81"/>
    </row>
    <row r="54" spans="1:13" ht="30" customHeight="1" x14ac:dyDescent="0.25">
      <c r="A54" s="16" t="s">
        <v>306</v>
      </c>
      <c r="B54" s="20">
        <v>12895</v>
      </c>
      <c r="C54" s="77" t="str">
        <f>VLOOKUP(B54,IF(A54="COMPOSICAO",S!$A:$D,I!$A:$D),2,FALSE)</f>
        <v>CAPACETE DE SEGURANCA ABA FRONTAL COM SUSPENSAO DE POLIETILENO, SEM JUGULAR (CLASSE B)</v>
      </c>
      <c r="D54" s="77"/>
      <c r="E54" s="77"/>
      <c r="F54" s="77"/>
      <c r="G54" s="16" t="str">
        <f>VLOOKUP(B54,IF(A54="COMPOSICAO",S!$A:$D,I!$A:$D),3,FALSE)</f>
        <v>UN</v>
      </c>
      <c r="H54" s="29">
        <v>5.9999999999999995E-4</v>
      </c>
      <c r="I54" s="17">
        <f>IF(A54="COMPOSICAO",VLOOKUP("TOTAL - "&amp;B54,COMPOSICAO_AUX_5!$A:$J,10,FALSE),VLOOKUP(B54,I!$A:$D,4,FALSE))</f>
        <v>14.35</v>
      </c>
      <c r="J54" s="80">
        <f t="shared" si="1"/>
        <v>0</v>
      </c>
      <c r="K54" s="81"/>
    </row>
    <row r="55" spans="1:13" ht="15" customHeight="1" x14ac:dyDescent="0.25">
      <c r="A55" s="23" t="s">
        <v>628</v>
      </c>
      <c r="B55" s="24"/>
      <c r="C55" s="24"/>
      <c r="D55" s="24"/>
      <c r="E55" s="24"/>
      <c r="F55" s="24"/>
      <c r="G55" s="25"/>
      <c r="H55" s="26"/>
      <c r="I55" s="27"/>
      <c r="J55" s="80">
        <f>SUM(J29:K54)</f>
        <v>2.8000000000000003</v>
      </c>
      <c r="K55" s="81"/>
    </row>
    <row r="56" spans="1:13" ht="15" customHeight="1" x14ac:dyDescent="0.25">
      <c r="A56" s="3"/>
      <c r="B56" s="3"/>
      <c r="C56" s="3"/>
      <c r="D56" s="3"/>
      <c r="E56" s="3"/>
      <c r="F56" s="3"/>
      <c r="G56" s="3"/>
      <c r="H56" s="3"/>
      <c r="I56" s="3"/>
      <c r="J56" s="3"/>
      <c r="K56" s="3"/>
    </row>
    <row r="57" spans="1:13" ht="15" customHeight="1" x14ac:dyDescent="0.25">
      <c r="A57" s="10" t="s">
        <v>295</v>
      </c>
      <c r="B57" s="10" t="s">
        <v>31</v>
      </c>
      <c r="C57" s="82" t="s">
        <v>7</v>
      </c>
      <c r="D57" s="83"/>
      <c r="E57" s="83"/>
      <c r="F57" s="83"/>
      <c r="G57" s="6" t="s">
        <v>32</v>
      </c>
      <c r="H57" s="6" t="s">
        <v>296</v>
      </c>
      <c r="I57" s="6" t="s">
        <v>297</v>
      </c>
      <c r="J57" s="57" t="s">
        <v>9</v>
      </c>
      <c r="K57" s="58"/>
    </row>
    <row r="58" spans="1:13" ht="15" customHeight="1" x14ac:dyDescent="0.25">
      <c r="A58" s="6" t="s">
        <v>11</v>
      </c>
      <c r="B58" s="6" t="s">
        <v>666</v>
      </c>
      <c r="C58" s="91" t="str">
        <f>VLOOKUP(B58,S!$A:$D,2,FALSE)</f>
        <v>ENCARGOS COMPLEMENTARES - CARPINTEIRO</v>
      </c>
      <c r="D58" s="91"/>
      <c r="E58" s="91"/>
      <c r="F58" s="92"/>
      <c r="G58" s="6" t="str">
        <f>VLOOKUP(B58,S!$A:$D,3,FALSE)</f>
        <v>H</v>
      </c>
      <c r="H58" s="21"/>
      <c r="I58" s="21">
        <f>J79</f>
        <v>2.8400000000000003</v>
      </c>
      <c r="J58" s="76"/>
      <c r="K58" s="72"/>
      <c r="L58" s="21">
        <f>VLOOKUP(B58,S!$A:$D,4,FALSE)</f>
        <v>2.89</v>
      </c>
      <c r="M58" s="6" t="str">
        <f>IF(ROUND((L58-I58),2)=0,"OK, confere com a tabela.",IF(ROUND((L58-I58),2)&lt;0,"ACIMA ("&amp;TEXT(ROUND(I58*100/L58,4),"0,0000")&amp;" %) da tabela.","ABAIXO ("&amp;TEXT(ROUND(I58*100/L58,4),"0,0000")&amp;" %) da tabela."))</f>
        <v>ABAIXO (98,2699 %) da tabela.</v>
      </c>
    </row>
    <row r="59" spans="1:13" ht="15" customHeight="1" x14ac:dyDescent="0.25">
      <c r="A59" s="16" t="s">
        <v>306</v>
      </c>
      <c r="B59" s="16" t="s">
        <v>519</v>
      </c>
      <c r="C59" s="77" t="str">
        <f>VLOOKUP(B59,IF(A59="COMPOSICAO",S!$A:$D,I!$A:$D),2,FALSE)</f>
        <v>ALMOÇO (PARTICIPAÇÃO DO EMPREGADOR)</v>
      </c>
      <c r="D59" s="77"/>
      <c r="E59" s="77"/>
      <c r="F59" s="77"/>
      <c r="G59" s="16" t="str">
        <f>VLOOKUP(B59,IF(A59="COMPOSICAO",S!$A:$D,I!$A:$D),3,FALSE)</f>
        <v>UN</v>
      </c>
      <c r="H59" s="29">
        <v>0.1018</v>
      </c>
      <c r="I59" s="17">
        <f>IF(A59="COMPOSICAO",VLOOKUP("TOTAL - "&amp;B59,COMPOSICAO_AUX_5!$A:$J,10,FALSE),VLOOKUP(B59,I!$A:$D,4,FALSE))</f>
        <v>10</v>
      </c>
      <c r="J59" s="80">
        <f t="shared" ref="J59:J78" si="2">TRUNC(H59*I59,2)</f>
        <v>1.01</v>
      </c>
      <c r="K59" s="81"/>
    </row>
    <row r="60" spans="1:13" ht="15" customHeight="1" x14ac:dyDescent="0.25">
      <c r="A60" s="16" t="s">
        <v>306</v>
      </c>
      <c r="B60" s="16" t="s">
        <v>520</v>
      </c>
      <c r="C60" s="77" t="str">
        <f>VLOOKUP(B60,IF(A60="COMPOSICAO",S!$A:$D,I!$A:$D),2,FALSE)</f>
        <v>FARDAMENTO</v>
      </c>
      <c r="D60" s="77"/>
      <c r="E60" s="77"/>
      <c r="F60" s="77"/>
      <c r="G60" s="16" t="str">
        <f>VLOOKUP(B60,IF(A60="COMPOSICAO",S!$A:$D,I!$A:$D),3,FALSE)</f>
        <v>UN</v>
      </c>
      <c r="H60" s="29">
        <v>1.5E-3</v>
      </c>
      <c r="I60" s="17">
        <f>IF(A60="COMPOSICAO",VLOOKUP("TOTAL - "&amp;B60,COMPOSICAO_AUX_5!$A:$J,10,FALSE),VLOOKUP(B60,I!$A:$D,4,FALSE))</f>
        <v>78.53</v>
      </c>
      <c r="J60" s="80">
        <f t="shared" si="2"/>
        <v>0.11</v>
      </c>
      <c r="K60" s="81"/>
    </row>
    <row r="61" spans="1:13" ht="15" customHeight="1" x14ac:dyDescent="0.25">
      <c r="A61" s="16" t="s">
        <v>306</v>
      </c>
      <c r="B61" s="16" t="s">
        <v>521</v>
      </c>
      <c r="C61" s="77" t="str">
        <f>VLOOKUP(B61,IF(A61="COMPOSICAO",S!$A:$D,I!$A:$D),2,FALSE)</f>
        <v>ÓCULOS BRANCO PROTEÇÃO</v>
      </c>
      <c r="D61" s="77"/>
      <c r="E61" s="77"/>
      <c r="F61" s="77"/>
      <c r="G61" s="16" t="str">
        <f>VLOOKUP(B61,IF(A61="COMPOSICAO",S!$A:$D,I!$A:$D),3,FALSE)</f>
        <v>PR</v>
      </c>
      <c r="H61" s="29">
        <v>6.9999999999999999E-4</v>
      </c>
      <c r="I61" s="17">
        <f>IF(A61="COMPOSICAO",VLOOKUP("TOTAL - "&amp;B61,COMPOSICAO_AUX_5!$A:$J,10,FALSE),VLOOKUP(B61,I!$A:$D,4,FALSE))</f>
        <v>5.9</v>
      </c>
      <c r="J61" s="80">
        <f t="shared" si="2"/>
        <v>0</v>
      </c>
      <c r="K61" s="81"/>
    </row>
    <row r="62" spans="1:13" ht="15" customHeight="1" x14ac:dyDescent="0.25">
      <c r="A62" s="16" t="s">
        <v>306</v>
      </c>
      <c r="B62" s="16" t="s">
        <v>522</v>
      </c>
      <c r="C62" s="77" t="str">
        <f>VLOOKUP(B62,IF(A62="COMPOSICAO",S!$A:$D,I!$A:$D),2,FALSE)</f>
        <v>VALE TRANSPORTE</v>
      </c>
      <c r="D62" s="77"/>
      <c r="E62" s="77"/>
      <c r="F62" s="77"/>
      <c r="G62" s="16" t="str">
        <f>VLOOKUP(B62,IF(A62="COMPOSICAO",S!$A:$D,I!$A:$D),3,FALSE)</f>
        <v>UN</v>
      </c>
      <c r="H62" s="29">
        <v>6.54E-2</v>
      </c>
      <c r="I62" s="17">
        <f>IF(A62="COMPOSICAO",VLOOKUP("TOTAL - "&amp;B62,COMPOSICAO_AUX_5!$A:$J,10,FALSE),VLOOKUP(B62,I!$A:$D,4,FALSE))</f>
        <v>4</v>
      </c>
      <c r="J62" s="80">
        <f t="shared" si="2"/>
        <v>0.26</v>
      </c>
      <c r="K62" s="81"/>
    </row>
    <row r="63" spans="1:13" ht="15" customHeight="1" x14ac:dyDescent="0.25">
      <c r="A63" s="16" t="s">
        <v>306</v>
      </c>
      <c r="B63" s="16" t="s">
        <v>525</v>
      </c>
      <c r="C63" s="77" t="str">
        <f>VLOOKUP(B63,IF(A63="COMPOSICAO",S!$A:$D,I!$A:$D),2,FALSE)</f>
        <v>SEGURO DE VIDA E ACIDENTE EM GRUPO</v>
      </c>
      <c r="D63" s="77"/>
      <c r="E63" s="77"/>
      <c r="F63" s="77"/>
      <c r="G63" s="16" t="str">
        <f>VLOOKUP(B63,IF(A63="COMPOSICAO",S!$A:$D,I!$A:$D),3,FALSE)</f>
        <v>UN</v>
      </c>
      <c r="H63" s="29">
        <v>4.4999999999999997E-3</v>
      </c>
      <c r="I63" s="17">
        <f>IF(A63="COMPOSICAO",VLOOKUP("TOTAL - "&amp;B63,COMPOSICAO_AUX_5!$A:$J,10,FALSE),VLOOKUP(B63,I!$A:$D,4,FALSE))</f>
        <v>12.54</v>
      </c>
      <c r="J63" s="80">
        <f t="shared" si="2"/>
        <v>0.05</v>
      </c>
      <c r="K63" s="81"/>
    </row>
    <row r="64" spans="1:13" ht="15" customHeight="1" x14ac:dyDescent="0.25">
      <c r="A64" s="16" t="s">
        <v>306</v>
      </c>
      <c r="B64" s="16" t="s">
        <v>526</v>
      </c>
      <c r="C64" s="77" t="str">
        <f>VLOOKUP(B64,IF(A64="COMPOSICAO",S!$A:$D,I!$A:$D),2,FALSE)</f>
        <v>CESTA BÁSICA</v>
      </c>
      <c r="D64" s="77"/>
      <c r="E64" s="77"/>
      <c r="F64" s="77"/>
      <c r="G64" s="16" t="str">
        <f>VLOOKUP(B64,IF(A64="COMPOSICAO",S!$A:$D,I!$A:$D),3,FALSE)</f>
        <v>UN</v>
      </c>
      <c r="H64" s="29">
        <v>4.4999999999999997E-3</v>
      </c>
      <c r="I64" s="17">
        <f>IF(A64="COMPOSICAO",VLOOKUP("TOTAL - "&amp;B64,COMPOSICAO_AUX_5!$A:$J,10,FALSE),VLOOKUP(B64,I!$A:$D,4,FALSE))</f>
        <v>140</v>
      </c>
      <c r="J64" s="80">
        <f t="shared" si="2"/>
        <v>0.63</v>
      </c>
      <c r="K64" s="81"/>
    </row>
    <row r="65" spans="1:11" ht="15" customHeight="1" x14ac:dyDescent="0.25">
      <c r="A65" s="16" t="s">
        <v>306</v>
      </c>
      <c r="B65" s="16" t="s">
        <v>527</v>
      </c>
      <c r="C65" s="77" t="str">
        <f>VLOOKUP(B65,IF(A65="COMPOSICAO",S!$A:$D,I!$A:$D),2,FALSE)</f>
        <v>EXAMES ADMISSIONAIS/DEMISSIONAIS (CHECKUP)</v>
      </c>
      <c r="D65" s="77"/>
      <c r="E65" s="77"/>
      <c r="F65" s="77"/>
      <c r="G65" s="16" t="str">
        <f>VLOOKUP(B65,IF(A65="COMPOSICAO",S!$A:$D,I!$A:$D),3,FALSE)</f>
        <v>CJ</v>
      </c>
      <c r="H65" s="29">
        <v>4.0000000000000002E-4</v>
      </c>
      <c r="I65" s="17">
        <f>IF(A65="COMPOSICAO",VLOOKUP("TOTAL - "&amp;B65,COMPOSICAO_AUX_5!$A:$J,10,FALSE),VLOOKUP(B65,I!$A:$D,4,FALSE))</f>
        <v>300</v>
      </c>
      <c r="J65" s="80">
        <f t="shared" si="2"/>
        <v>0.12</v>
      </c>
      <c r="K65" s="81"/>
    </row>
    <row r="66" spans="1:11" ht="15" customHeight="1" x14ac:dyDescent="0.25">
      <c r="A66" s="16" t="s">
        <v>306</v>
      </c>
      <c r="B66" s="16" t="s">
        <v>800</v>
      </c>
      <c r="C66" s="77" t="str">
        <f>VLOOKUP(B66,IF(A66="COMPOSICAO",S!$A:$D,I!$A:$D),2,FALSE)</f>
        <v>SERROTE 40CM</v>
      </c>
      <c r="D66" s="77"/>
      <c r="E66" s="77"/>
      <c r="F66" s="77"/>
      <c r="G66" s="16" t="str">
        <f>VLOOKUP(B66,IF(A66="COMPOSICAO",S!$A:$D,I!$A:$D),3,FALSE)</f>
        <v>UN</v>
      </c>
      <c r="H66" s="29">
        <v>1E-4</v>
      </c>
      <c r="I66" s="17">
        <f>IF(A66="COMPOSICAO",VLOOKUP("TOTAL - "&amp;B66,COMPOSICAO_AUX_5!$A:$J,10,FALSE),VLOOKUP(B66,I!$A:$D,4,FALSE))</f>
        <v>18.579999999999998</v>
      </c>
      <c r="J66" s="80">
        <f t="shared" si="2"/>
        <v>0</v>
      </c>
      <c r="K66" s="81"/>
    </row>
    <row r="67" spans="1:11" ht="15" customHeight="1" x14ac:dyDescent="0.25">
      <c r="A67" s="16" t="s">
        <v>306</v>
      </c>
      <c r="B67" s="16" t="s">
        <v>801</v>
      </c>
      <c r="C67" s="77" t="str">
        <f>VLOOKUP(B67,IF(A67="COMPOSICAO",S!$A:$D,I!$A:$D),2,FALSE)</f>
        <v>FORMÃO GRANDE</v>
      </c>
      <c r="D67" s="77"/>
      <c r="E67" s="77"/>
      <c r="F67" s="77"/>
      <c r="G67" s="16" t="str">
        <f>VLOOKUP(B67,IF(A67="COMPOSICAO",S!$A:$D,I!$A:$D),3,FALSE)</f>
        <v>UN</v>
      </c>
      <c r="H67" s="29">
        <v>2.0000000000000001E-4</v>
      </c>
      <c r="I67" s="17">
        <f>IF(A67="COMPOSICAO",VLOOKUP("TOTAL - "&amp;B67,COMPOSICAO_AUX_5!$A:$J,10,FALSE),VLOOKUP(B67,I!$A:$D,4,FALSE))</f>
        <v>15.15</v>
      </c>
      <c r="J67" s="80">
        <f t="shared" si="2"/>
        <v>0</v>
      </c>
      <c r="K67" s="81"/>
    </row>
    <row r="68" spans="1:11" ht="15" customHeight="1" x14ac:dyDescent="0.25">
      <c r="A68" s="16" t="s">
        <v>306</v>
      </c>
      <c r="B68" s="16" t="s">
        <v>713</v>
      </c>
      <c r="C68" s="77" t="str">
        <f>VLOOKUP(B68,IF(A68="COMPOSICAO",S!$A:$D,I!$A:$D),2,FALSE)</f>
        <v>CHAVE DE FENDA CHATA 30 CM</v>
      </c>
      <c r="D68" s="77"/>
      <c r="E68" s="77"/>
      <c r="F68" s="77"/>
      <c r="G68" s="16" t="str">
        <f>VLOOKUP(B68,IF(A68="COMPOSICAO",S!$A:$D,I!$A:$D),3,FALSE)</f>
        <v>UN</v>
      </c>
      <c r="H68" s="29">
        <v>2.0000000000000001E-4</v>
      </c>
      <c r="I68" s="17">
        <f>IF(A68="COMPOSICAO",VLOOKUP("TOTAL - "&amp;B68,COMPOSICAO_AUX_5!$A:$J,10,FALSE),VLOOKUP(B68,I!$A:$D,4,FALSE))</f>
        <v>22.89</v>
      </c>
      <c r="J68" s="80">
        <f t="shared" si="2"/>
        <v>0</v>
      </c>
      <c r="K68" s="81"/>
    </row>
    <row r="69" spans="1:11" ht="15" customHeight="1" x14ac:dyDescent="0.25">
      <c r="A69" s="16" t="s">
        <v>306</v>
      </c>
      <c r="B69" s="16" t="s">
        <v>528</v>
      </c>
      <c r="C69" s="77" t="str">
        <f>VLOOKUP(B69,IF(A69="COMPOSICAO",S!$A:$D,I!$A:$D),2,FALSE)</f>
        <v>PROTETOR AURICULAR</v>
      </c>
      <c r="D69" s="77"/>
      <c r="E69" s="77"/>
      <c r="F69" s="77"/>
      <c r="G69" s="16" t="str">
        <f>VLOOKUP(B69,IF(A69="COMPOSICAO",S!$A:$D,I!$A:$D),3,FALSE)</f>
        <v>UN</v>
      </c>
      <c r="H69" s="29">
        <v>4.4999999999999997E-3</v>
      </c>
      <c r="I69" s="17">
        <f>IF(A69="COMPOSICAO",VLOOKUP("TOTAL - "&amp;B69,COMPOSICAO_AUX_5!$A:$J,10,FALSE),VLOOKUP(B69,I!$A:$D,4,FALSE))</f>
        <v>4.9000000000000004</v>
      </c>
      <c r="J69" s="80">
        <f t="shared" si="2"/>
        <v>0.02</v>
      </c>
      <c r="K69" s="81"/>
    </row>
    <row r="70" spans="1:11" ht="15" customHeight="1" x14ac:dyDescent="0.25">
      <c r="A70" s="16" t="s">
        <v>306</v>
      </c>
      <c r="B70" s="16" t="s">
        <v>529</v>
      </c>
      <c r="C70" s="77" t="str">
        <f>VLOOKUP(B70,IF(A70="COMPOSICAO",S!$A:$D,I!$A:$D),2,FALSE)</f>
        <v>PROTETOR SOLAR FPS 30 COM 120ML</v>
      </c>
      <c r="D70" s="77"/>
      <c r="E70" s="77"/>
      <c r="F70" s="77"/>
      <c r="G70" s="16" t="str">
        <f>VLOOKUP(B70,IF(A70="COMPOSICAO",S!$A:$D,I!$A:$D),3,FALSE)</f>
        <v>UN</v>
      </c>
      <c r="H70" s="29">
        <v>1.8E-3</v>
      </c>
      <c r="I70" s="17">
        <f>IF(A70="COMPOSICAO",VLOOKUP("TOTAL - "&amp;B70,COMPOSICAO_AUX_5!$A:$J,10,FALSE),VLOOKUP(B70,I!$A:$D,4,FALSE))</f>
        <v>35.9</v>
      </c>
      <c r="J70" s="80">
        <f t="shared" si="2"/>
        <v>0.06</v>
      </c>
      <c r="K70" s="81"/>
    </row>
    <row r="71" spans="1:11" ht="30" customHeight="1" x14ac:dyDescent="0.25">
      <c r="A71" s="16" t="s">
        <v>306</v>
      </c>
      <c r="B71" s="16" t="s">
        <v>530</v>
      </c>
      <c r="C71" s="77" t="str">
        <f>VLOOKUP(B71,IF(A71="COMPOSICAO",S!$A:$D,I!$A:$D),2,FALSE)</f>
        <v>REFEIÇÃO - CAFÉ DA MANHÃ ( CAFÉ COM LEITE E DOIS PÃES COM MANTEIGA)</v>
      </c>
      <c r="D71" s="77"/>
      <c r="E71" s="77"/>
      <c r="F71" s="77"/>
      <c r="G71" s="16" t="str">
        <f>VLOOKUP(B71,IF(A71="COMPOSICAO",S!$A:$D,I!$A:$D),3,FALSE)</f>
        <v>UN</v>
      </c>
      <c r="H71" s="29">
        <v>0.1018</v>
      </c>
      <c r="I71" s="17">
        <f>IF(A71="COMPOSICAO",VLOOKUP("TOTAL - "&amp;B71,COMPOSICAO_AUX_5!$A:$J,10,FALSE),VLOOKUP(B71,I!$A:$D,4,FALSE))</f>
        <v>4.5</v>
      </c>
      <c r="J71" s="80">
        <f t="shared" si="2"/>
        <v>0.45</v>
      </c>
      <c r="K71" s="81"/>
    </row>
    <row r="72" spans="1:11" ht="15" customHeight="1" x14ac:dyDescent="0.25">
      <c r="A72" s="16" t="s">
        <v>306</v>
      </c>
      <c r="B72" s="16" t="s">
        <v>802</v>
      </c>
      <c r="C72" s="77" t="str">
        <f>VLOOKUP(B72,IF(A72="COMPOSICAO",S!$A:$D,I!$A:$D),2,FALSE)</f>
        <v>MARTELO COM UNHA</v>
      </c>
      <c r="D72" s="77"/>
      <c r="E72" s="77"/>
      <c r="F72" s="77"/>
      <c r="G72" s="16" t="str">
        <f>VLOOKUP(B72,IF(A72="COMPOSICAO",S!$A:$D,I!$A:$D),3,FALSE)</f>
        <v>UN</v>
      </c>
      <c r="H72" s="29">
        <v>2.0000000000000001E-4</v>
      </c>
      <c r="I72" s="17">
        <f>IF(A72="COMPOSICAO",VLOOKUP("TOTAL - "&amp;B72,COMPOSICAO_AUX_5!$A:$J,10,FALSE),VLOOKUP(B72,I!$A:$D,4,FALSE))</f>
        <v>37.9</v>
      </c>
      <c r="J72" s="80">
        <f t="shared" si="2"/>
        <v>0</v>
      </c>
      <c r="K72" s="81"/>
    </row>
    <row r="73" spans="1:11" ht="30" customHeight="1" x14ac:dyDescent="0.25">
      <c r="A73" s="16" t="s">
        <v>306</v>
      </c>
      <c r="B73" s="16" t="s">
        <v>803</v>
      </c>
      <c r="C73" s="77" t="str">
        <f>VLOOKUP(B73,IF(A73="COMPOSICAO",S!$A:$D,I!$A:$D),2,FALSE)</f>
        <v>FURADEIRA E PARAFUSADEIRA ELETRICA BOSCH OU SIMILAR PROFISSIONAL</v>
      </c>
      <c r="D73" s="77"/>
      <c r="E73" s="77"/>
      <c r="F73" s="77"/>
      <c r="G73" s="16" t="str">
        <f>VLOOKUP(B73,IF(A73="COMPOSICAO",S!$A:$D,I!$A:$D),3,FALSE)</f>
        <v>UN</v>
      </c>
      <c r="H73" s="29">
        <v>1E-4</v>
      </c>
      <c r="I73" s="17">
        <f>IF(A73="COMPOSICAO",VLOOKUP("TOTAL - "&amp;B73,COMPOSICAO_AUX_5!$A:$J,10,FALSE),VLOOKUP(B73,I!$A:$D,4,FALSE))</f>
        <v>246</v>
      </c>
      <c r="J73" s="80">
        <f t="shared" si="2"/>
        <v>0.02</v>
      </c>
      <c r="K73" s="81"/>
    </row>
    <row r="74" spans="1:11" ht="15" customHeight="1" x14ac:dyDescent="0.25">
      <c r="A74" s="16" t="s">
        <v>306</v>
      </c>
      <c r="B74" s="16" t="s">
        <v>804</v>
      </c>
      <c r="C74" s="77" t="str">
        <f>VLOOKUP(B74,IF(A74="COMPOSICAO",S!$A:$D,I!$A:$D),2,FALSE)</f>
        <v>SERRA CIRCULAR ELETRICA PORTATIL</v>
      </c>
      <c r="D74" s="77"/>
      <c r="E74" s="77"/>
      <c r="F74" s="77"/>
      <c r="G74" s="16" t="str">
        <f>VLOOKUP(B74,IF(A74="COMPOSICAO",S!$A:$D,I!$A:$D),3,FALSE)</f>
        <v>UN</v>
      </c>
      <c r="H74" s="29">
        <v>1E-4</v>
      </c>
      <c r="I74" s="17">
        <f>IF(A74="COMPOSICAO",VLOOKUP("TOTAL - "&amp;B74,COMPOSICAO_AUX_5!$A:$J,10,FALSE),VLOOKUP(B74,I!$A:$D,4,FALSE))</f>
        <v>518</v>
      </c>
      <c r="J74" s="80">
        <f t="shared" si="2"/>
        <v>0.05</v>
      </c>
      <c r="K74" s="81"/>
    </row>
    <row r="75" spans="1:11" ht="30" customHeight="1" x14ac:dyDescent="0.25">
      <c r="A75" s="16" t="s">
        <v>306</v>
      </c>
      <c r="B75" s="20">
        <v>12892</v>
      </c>
      <c r="C75" s="77" t="str">
        <f>VLOOKUP(B75,IF(A75="COMPOSICAO",S!$A:$D,I!$A:$D),2,FALSE)</f>
        <v>LUVA RASPA DE COURO, CANO CURTO (PUNHO *7* CM)</v>
      </c>
      <c r="D75" s="77"/>
      <c r="E75" s="77"/>
      <c r="F75" s="77"/>
      <c r="G75" s="16" t="str">
        <f>VLOOKUP(B75,IF(A75="COMPOSICAO",S!$A:$D,I!$A:$D),3,FALSE)</f>
        <v>PAR</v>
      </c>
      <c r="H75" s="29">
        <v>2.3E-3</v>
      </c>
      <c r="I75" s="17">
        <f>IF(A75="COMPOSICAO",VLOOKUP("TOTAL - "&amp;B75,COMPOSICAO_AUX_5!$A:$J,10,FALSE),VLOOKUP(B75,I!$A:$D,4,FALSE))</f>
        <v>12.91</v>
      </c>
      <c r="J75" s="80">
        <f t="shared" si="2"/>
        <v>0.02</v>
      </c>
      <c r="K75" s="81"/>
    </row>
    <row r="76" spans="1:11" ht="30" customHeight="1" x14ac:dyDescent="0.25">
      <c r="A76" s="16" t="s">
        <v>306</v>
      </c>
      <c r="B76" s="20">
        <v>12893</v>
      </c>
      <c r="C76" s="77" t="str">
        <f>VLOOKUP(B76,IF(A76="COMPOSICAO",S!$A:$D,I!$A:$D),2,FALSE)</f>
        <v>BOTA DE SEGURANCA COM BIQUEIRA DE ACO E COLARINHO ACOLCHOADO</v>
      </c>
      <c r="D76" s="77"/>
      <c r="E76" s="77"/>
      <c r="F76" s="77"/>
      <c r="G76" s="16" t="str">
        <f>VLOOKUP(B76,IF(A76="COMPOSICAO",S!$A:$D,I!$A:$D),3,FALSE)</f>
        <v>PAR</v>
      </c>
      <c r="H76" s="29">
        <v>6.9999999999999999E-4</v>
      </c>
      <c r="I76" s="17">
        <f>IF(A76="COMPOSICAO",VLOOKUP("TOTAL - "&amp;B76,COMPOSICAO_AUX_5!$A:$J,10,FALSE),VLOOKUP(B76,I!$A:$D,4,FALSE))</f>
        <v>68.88</v>
      </c>
      <c r="J76" s="80">
        <f t="shared" si="2"/>
        <v>0.04</v>
      </c>
      <c r="K76" s="81"/>
    </row>
    <row r="77" spans="1:11" ht="30" customHeight="1" x14ac:dyDescent="0.25">
      <c r="A77" s="16" t="s">
        <v>306</v>
      </c>
      <c r="B77" s="20">
        <v>12894</v>
      </c>
      <c r="C77" s="77" t="str">
        <f>VLOOKUP(B77,IF(A77="COMPOSICAO",S!$A:$D,I!$A:$D),2,FALSE)</f>
        <v>CAPA PARA CHUVA EM PVC COM FORRO DE POLIESTER, COM CAPUZ (AMARELA OU AZUL)</v>
      </c>
      <c r="D77" s="77"/>
      <c r="E77" s="77"/>
      <c r="F77" s="77"/>
      <c r="G77" s="16" t="str">
        <f>VLOOKUP(B77,IF(A77="COMPOSICAO",S!$A:$D,I!$A:$D),3,FALSE)</f>
        <v>UN</v>
      </c>
      <c r="H77" s="29">
        <v>2.0000000000000001E-4</v>
      </c>
      <c r="I77" s="17">
        <f>IF(A77="COMPOSICAO",VLOOKUP("TOTAL - "&amp;B77,COMPOSICAO_AUX_5!$A:$J,10,FALSE),VLOOKUP(B77,I!$A:$D,4,FALSE))</f>
        <v>18.649999999999999</v>
      </c>
      <c r="J77" s="80">
        <f t="shared" si="2"/>
        <v>0</v>
      </c>
      <c r="K77" s="81"/>
    </row>
    <row r="78" spans="1:11" ht="30" customHeight="1" x14ac:dyDescent="0.25">
      <c r="A78" s="16" t="s">
        <v>306</v>
      </c>
      <c r="B78" s="20">
        <v>12895</v>
      </c>
      <c r="C78" s="77" t="str">
        <f>VLOOKUP(B78,IF(A78="COMPOSICAO",S!$A:$D,I!$A:$D),2,FALSE)</f>
        <v>CAPACETE DE SEGURANCA ABA FRONTAL COM SUSPENSAO DE POLIETILENO, SEM JUGULAR (CLASSE B)</v>
      </c>
      <c r="D78" s="77"/>
      <c r="E78" s="77"/>
      <c r="F78" s="77"/>
      <c r="G78" s="16" t="str">
        <f>VLOOKUP(B78,IF(A78="COMPOSICAO",S!$A:$D,I!$A:$D),3,FALSE)</f>
        <v>UN</v>
      </c>
      <c r="H78" s="29">
        <v>5.9999999999999995E-4</v>
      </c>
      <c r="I78" s="17">
        <f>IF(A78="COMPOSICAO",VLOOKUP("TOTAL - "&amp;B78,COMPOSICAO_AUX_5!$A:$J,10,FALSE),VLOOKUP(B78,I!$A:$D,4,FALSE))</f>
        <v>14.35</v>
      </c>
      <c r="J78" s="80">
        <f t="shared" si="2"/>
        <v>0</v>
      </c>
      <c r="K78" s="81"/>
    </row>
    <row r="79" spans="1:11" ht="15" customHeight="1" x14ac:dyDescent="0.25">
      <c r="A79" s="23" t="s">
        <v>805</v>
      </c>
      <c r="B79" s="24"/>
      <c r="C79" s="24"/>
      <c r="D79" s="24"/>
      <c r="E79" s="24"/>
      <c r="F79" s="24"/>
      <c r="G79" s="25"/>
      <c r="H79" s="26"/>
      <c r="I79" s="27"/>
      <c r="J79" s="80">
        <f>SUM(J58:K78)</f>
        <v>2.8400000000000003</v>
      </c>
      <c r="K79" s="81"/>
    </row>
    <row r="80" spans="1:11" ht="15" customHeight="1" x14ac:dyDescent="0.25">
      <c r="A80" s="3"/>
      <c r="B80" s="3"/>
      <c r="C80" s="3"/>
      <c r="D80" s="3"/>
      <c r="E80" s="3"/>
      <c r="F80" s="3"/>
      <c r="G80" s="3"/>
      <c r="H80" s="3"/>
      <c r="I80" s="3"/>
      <c r="J80" s="3"/>
      <c r="K80" s="3"/>
    </row>
    <row r="81" spans="1:13" ht="15" customHeight="1" x14ac:dyDescent="0.25">
      <c r="A81" s="10" t="s">
        <v>295</v>
      </c>
      <c r="B81" s="10" t="s">
        <v>31</v>
      </c>
      <c r="C81" s="82" t="s">
        <v>7</v>
      </c>
      <c r="D81" s="83"/>
      <c r="E81" s="83"/>
      <c r="F81" s="83"/>
      <c r="G81" s="6" t="s">
        <v>32</v>
      </c>
      <c r="H81" s="6" t="s">
        <v>296</v>
      </c>
      <c r="I81" s="6" t="s">
        <v>297</v>
      </c>
      <c r="J81" s="57" t="s">
        <v>9</v>
      </c>
      <c r="K81" s="58"/>
    </row>
    <row r="82" spans="1:13" ht="15" customHeight="1" x14ac:dyDescent="0.25">
      <c r="A82" s="6" t="s">
        <v>11</v>
      </c>
      <c r="B82" s="6" t="s">
        <v>674</v>
      </c>
      <c r="C82" s="91" t="str">
        <f>VLOOKUP(B82,S!$A:$D,2,FALSE)</f>
        <v>ENCARGOS COMPLEMENTARES - ARMADOR</v>
      </c>
      <c r="D82" s="91"/>
      <c r="E82" s="91"/>
      <c r="F82" s="92"/>
      <c r="G82" s="6" t="str">
        <f>VLOOKUP(B82,S!$A:$D,3,FALSE)</f>
        <v>H</v>
      </c>
      <c r="H82" s="21"/>
      <c r="I82" s="21">
        <f>J99</f>
        <v>2.7800000000000002</v>
      </c>
      <c r="J82" s="76"/>
      <c r="K82" s="72"/>
      <c r="L82" s="21">
        <f>VLOOKUP(B82,S!$A:$D,4,FALSE)</f>
        <v>2.82</v>
      </c>
      <c r="M82" s="6" t="str">
        <f>IF(ROUND((L82-I82),2)=0,"OK, confere com a tabela.",IF(ROUND((L82-I82),2)&lt;0,"ACIMA ("&amp;TEXT(ROUND(I82*100/L82,4),"0,0000")&amp;" %) da tabela.","ABAIXO ("&amp;TEXT(ROUND(I82*100/L82,4),"0,0000")&amp;" %) da tabela."))</f>
        <v>ABAIXO (98,5816 %) da tabela.</v>
      </c>
    </row>
    <row r="83" spans="1:13" ht="15" customHeight="1" x14ac:dyDescent="0.25">
      <c r="A83" s="16" t="s">
        <v>306</v>
      </c>
      <c r="B83" s="16" t="s">
        <v>519</v>
      </c>
      <c r="C83" s="77" t="str">
        <f>VLOOKUP(B83,IF(A83="COMPOSICAO",S!$A:$D,I!$A:$D),2,FALSE)</f>
        <v>ALMOÇO (PARTICIPAÇÃO DO EMPREGADOR)</v>
      </c>
      <c r="D83" s="77"/>
      <c r="E83" s="77"/>
      <c r="F83" s="77"/>
      <c r="G83" s="16" t="str">
        <f>VLOOKUP(B83,IF(A83="COMPOSICAO",S!$A:$D,I!$A:$D),3,FALSE)</f>
        <v>UN</v>
      </c>
      <c r="H83" s="29">
        <v>0.1018</v>
      </c>
      <c r="I83" s="17">
        <f>IF(A83="COMPOSICAO",VLOOKUP("TOTAL - "&amp;B83,COMPOSICAO_AUX_5!$A:$J,10,FALSE),VLOOKUP(B83,I!$A:$D,4,FALSE))</f>
        <v>10</v>
      </c>
      <c r="J83" s="80">
        <f t="shared" ref="J83:J98" si="3">TRUNC(H83*I83,2)</f>
        <v>1.01</v>
      </c>
      <c r="K83" s="81"/>
    </row>
    <row r="84" spans="1:13" ht="15" customHeight="1" x14ac:dyDescent="0.25">
      <c r="A84" s="16" t="s">
        <v>306</v>
      </c>
      <c r="B84" s="16" t="s">
        <v>520</v>
      </c>
      <c r="C84" s="77" t="str">
        <f>VLOOKUP(B84,IF(A84="COMPOSICAO",S!$A:$D,I!$A:$D),2,FALSE)</f>
        <v>FARDAMENTO</v>
      </c>
      <c r="D84" s="77"/>
      <c r="E84" s="77"/>
      <c r="F84" s="77"/>
      <c r="G84" s="16" t="str">
        <f>VLOOKUP(B84,IF(A84="COMPOSICAO",S!$A:$D,I!$A:$D),3,FALSE)</f>
        <v>UN</v>
      </c>
      <c r="H84" s="29">
        <v>1.5E-3</v>
      </c>
      <c r="I84" s="17">
        <f>IF(A84="COMPOSICAO",VLOOKUP("TOTAL - "&amp;B84,COMPOSICAO_AUX_5!$A:$J,10,FALSE),VLOOKUP(B84,I!$A:$D,4,FALSE))</f>
        <v>78.53</v>
      </c>
      <c r="J84" s="80">
        <f t="shared" si="3"/>
        <v>0.11</v>
      </c>
      <c r="K84" s="81"/>
    </row>
    <row r="85" spans="1:13" ht="15" customHeight="1" x14ac:dyDescent="0.25">
      <c r="A85" s="16" t="s">
        <v>306</v>
      </c>
      <c r="B85" s="16" t="s">
        <v>521</v>
      </c>
      <c r="C85" s="77" t="str">
        <f>VLOOKUP(B85,IF(A85="COMPOSICAO",S!$A:$D,I!$A:$D),2,FALSE)</f>
        <v>ÓCULOS BRANCO PROTEÇÃO</v>
      </c>
      <c r="D85" s="77"/>
      <c r="E85" s="77"/>
      <c r="F85" s="77"/>
      <c r="G85" s="16" t="str">
        <f>VLOOKUP(B85,IF(A85="COMPOSICAO",S!$A:$D,I!$A:$D),3,FALSE)</f>
        <v>PR</v>
      </c>
      <c r="H85" s="29">
        <v>8.0000000000000004E-4</v>
      </c>
      <c r="I85" s="17">
        <f>IF(A85="COMPOSICAO",VLOOKUP("TOTAL - "&amp;B85,COMPOSICAO_AUX_5!$A:$J,10,FALSE),VLOOKUP(B85,I!$A:$D,4,FALSE))</f>
        <v>5.9</v>
      </c>
      <c r="J85" s="80">
        <f t="shared" si="3"/>
        <v>0</v>
      </c>
      <c r="K85" s="81"/>
    </row>
    <row r="86" spans="1:13" ht="15" customHeight="1" x14ac:dyDescent="0.25">
      <c r="A86" s="16" t="s">
        <v>306</v>
      </c>
      <c r="B86" s="16" t="s">
        <v>522</v>
      </c>
      <c r="C86" s="77" t="str">
        <f>VLOOKUP(B86,IF(A86="COMPOSICAO",S!$A:$D,I!$A:$D),2,FALSE)</f>
        <v>VALE TRANSPORTE</v>
      </c>
      <c r="D86" s="77"/>
      <c r="E86" s="77"/>
      <c r="F86" s="77"/>
      <c r="G86" s="16" t="str">
        <f>VLOOKUP(B86,IF(A86="COMPOSICAO",S!$A:$D,I!$A:$D),3,FALSE)</f>
        <v>UN</v>
      </c>
      <c r="H86" s="29">
        <v>6.54E-2</v>
      </c>
      <c r="I86" s="17">
        <f>IF(A86="COMPOSICAO",VLOOKUP("TOTAL - "&amp;B86,COMPOSICAO_AUX_5!$A:$J,10,FALSE),VLOOKUP(B86,I!$A:$D,4,FALSE))</f>
        <v>4</v>
      </c>
      <c r="J86" s="80">
        <f t="shared" si="3"/>
        <v>0.26</v>
      </c>
      <c r="K86" s="81"/>
    </row>
    <row r="87" spans="1:13" ht="15" customHeight="1" x14ac:dyDescent="0.25">
      <c r="A87" s="16" t="s">
        <v>306</v>
      </c>
      <c r="B87" s="16" t="s">
        <v>525</v>
      </c>
      <c r="C87" s="77" t="str">
        <f>VLOOKUP(B87,IF(A87="COMPOSICAO",S!$A:$D,I!$A:$D),2,FALSE)</f>
        <v>SEGURO DE VIDA E ACIDENTE EM GRUPO</v>
      </c>
      <c r="D87" s="77"/>
      <c r="E87" s="77"/>
      <c r="F87" s="77"/>
      <c r="G87" s="16" t="str">
        <f>VLOOKUP(B87,IF(A87="COMPOSICAO",S!$A:$D,I!$A:$D),3,FALSE)</f>
        <v>UN</v>
      </c>
      <c r="H87" s="29">
        <v>4.4999999999999997E-3</v>
      </c>
      <c r="I87" s="17">
        <f>IF(A87="COMPOSICAO",VLOOKUP("TOTAL - "&amp;B87,COMPOSICAO_AUX_5!$A:$J,10,FALSE),VLOOKUP(B87,I!$A:$D,4,FALSE))</f>
        <v>12.54</v>
      </c>
      <c r="J87" s="80">
        <f t="shared" si="3"/>
        <v>0.05</v>
      </c>
      <c r="K87" s="81"/>
    </row>
    <row r="88" spans="1:13" ht="15" customHeight="1" x14ac:dyDescent="0.25">
      <c r="A88" s="16" t="s">
        <v>306</v>
      </c>
      <c r="B88" s="16" t="s">
        <v>526</v>
      </c>
      <c r="C88" s="77" t="str">
        <f>VLOOKUP(B88,IF(A88="COMPOSICAO",S!$A:$D,I!$A:$D),2,FALSE)</f>
        <v>CESTA BÁSICA</v>
      </c>
      <c r="D88" s="77"/>
      <c r="E88" s="77"/>
      <c r="F88" s="77"/>
      <c r="G88" s="16" t="str">
        <f>VLOOKUP(B88,IF(A88="COMPOSICAO",S!$A:$D,I!$A:$D),3,FALSE)</f>
        <v>UN</v>
      </c>
      <c r="H88" s="29">
        <v>4.4999999999999997E-3</v>
      </c>
      <c r="I88" s="17">
        <f>IF(A88="COMPOSICAO",VLOOKUP("TOTAL - "&amp;B88,COMPOSICAO_AUX_5!$A:$J,10,FALSE),VLOOKUP(B88,I!$A:$D,4,FALSE))</f>
        <v>140</v>
      </c>
      <c r="J88" s="80">
        <f t="shared" si="3"/>
        <v>0.63</v>
      </c>
      <c r="K88" s="81"/>
    </row>
    <row r="89" spans="1:13" ht="15" customHeight="1" x14ac:dyDescent="0.25">
      <c r="A89" s="16" t="s">
        <v>306</v>
      </c>
      <c r="B89" s="16" t="s">
        <v>527</v>
      </c>
      <c r="C89" s="77" t="str">
        <f>VLOOKUP(B89,IF(A89="COMPOSICAO",S!$A:$D,I!$A:$D),2,FALSE)</f>
        <v>EXAMES ADMISSIONAIS/DEMISSIONAIS (CHECKUP)</v>
      </c>
      <c r="D89" s="77"/>
      <c r="E89" s="77"/>
      <c r="F89" s="77"/>
      <c r="G89" s="16" t="str">
        <f>VLOOKUP(B89,IF(A89="COMPOSICAO",S!$A:$D,I!$A:$D),3,FALSE)</f>
        <v>CJ</v>
      </c>
      <c r="H89" s="29">
        <v>4.0000000000000002E-4</v>
      </c>
      <c r="I89" s="17">
        <f>IF(A89="COMPOSICAO",VLOOKUP("TOTAL - "&amp;B89,COMPOSICAO_AUX_5!$A:$J,10,FALSE),VLOOKUP(B89,I!$A:$D,4,FALSE))</f>
        <v>300</v>
      </c>
      <c r="J89" s="80">
        <f t="shared" si="3"/>
        <v>0.12</v>
      </c>
      <c r="K89" s="81"/>
    </row>
    <row r="90" spans="1:13" ht="15" customHeight="1" x14ac:dyDescent="0.25">
      <c r="A90" s="16" t="s">
        <v>306</v>
      </c>
      <c r="B90" s="16" t="s">
        <v>809</v>
      </c>
      <c r="C90" s="77" t="str">
        <f>VLOOKUP(B90,IF(A90="COMPOSICAO",S!$A:$D,I!$A:$D),2,FALSE)</f>
        <v>ARCO DE SERRA</v>
      </c>
      <c r="D90" s="77"/>
      <c r="E90" s="77"/>
      <c r="F90" s="77"/>
      <c r="G90" s="16" t="str">
        <f>VLOOKUP(B90,IF(A90="COMPOSICAO",S!$A:$D,I!$A:$D),3,FALSE)</f>
        <v>UN</v>
      </c>
      <c r="H90" s="29">
        <v>2.0000000000000001E-4</v>
      </c>
      <c r="I90" s="17">
        <f>IF(A90="COMPOSICAO",VLOOKUP("TOTAL - "&amp;B90,COMPOSICAO_AUX_5!$A:$J,10,FALSE),VLOOKUP(B90,I!$A:$D,4,FALSE))</f>
        <v>21.25</v>
      </c>
      <c r="J90" s="80">
        <f t="shared" si="3"/>
        <v>0</v>
      </c>
      <c r="K90" s="81"/>
    </row>
    <row r="91" spans="1:13" ht="15" customHeight="1" x14ac:dyDescent="0.25">
      <c r="A91" s="16" t="s">
        <v>306</v>
      </c>
      <c r="B91" s="16" t="s">
        <v>810</v>
      </c>
      <c r="C91" s="77" t="str">
        <f>VLOOKUP(B91,IF(A91="COMPOSICAO",S!$A:$D,I!$A:$D),2,FALSE)</f>
        <v>TORQUESA</v>
      </c>
      <c r="D91" s="77"/>
      <c r="E91" s="77"/>
      <c r="F91" s="77"/>
      <c r="G91" s="16" t="str">
        <f>VLOOKUP(B91,IF(A91="COMPOSICAO",S!$A:$D,I!$A:$D),3,FALSE)</f>
        <v>UN</v>
      </c>
      <c r="H91" s="29">
        <v>2.0000000000000001E-4</v>
      </c>
      <c r="I91" s="17">
        <f>IF(A91="COMPOSICAO",VLOOKUP("TOTAL - "&amp;B91,COMPOSICAO_AUX_5!$A:$J,10,FALSE),VLOOKUP(B91,I!$A:$D,4,FALSE))</f>
        <v>17.899999999999999</v>
      </c>
      <c r="J91" s="80">
        <f t="shared" si="3"/>
        <v>0</v>
      </c>
      <c r="K91" s="81"/>
    </row>
    <row r="92" spans="1:13" ht="15" customHeight="1" x14ac:dyDescent="0.25">
      <c r="A92" s="16" t="s">
        <v>306</v>
      </c>
      <c r="B92" s="16" t="s">
        <v>528</v>
      </c>
      <c r="C92" s="77" t="str">
        <f>VLOOKUP(B92,IF(A92="COMPOSICAO",S!$A:$D,I!$A:$D),2,FALSE)</f>
        <v>PROTETOR AURICULAR</v>
      </c>
      <c r="D92" s="77"/>
      <c r="E92" s="77"/>
      <c r="F92" s="77"/>
      <c r="G92" s="16" t="str">
        <f>VLOOKUP(B92,IF(A92="COMPOSICAO",S!$A:$D,I!$A:$D),3,FALSE)</f>
        <v>UN</v>
      </c>
      <c r="H92" s="29">
        <v>4.4999999999999997E-3</v>
      </c>
      <c r="I92" s="17">
        <f>IF(A92="COMPOSICAO",VLOOKUP("TOTAL - "&amp;B92,COMPOSICAO_AUX_5!$A:$J,10,FALSE),VLOOKUP(B92,I!$A:$D,4,FALSE))</f>
        <v>4.9000000000000004</v>
      </c>
      <c r="J92" s="80">
        <f t="shared" si="3"/>
        <v>0.02</v>
      </c>
      <c r="K92" s="81"/>
    </row>
    <row r="93" spans="1:13" ht="15" customHeight="1" x14ac:dyDescent="0.25">
      <c r="A93" s="16" t="s">
        <v>306</v>
      </c>
      <c r="B93" s="16" t="s">
        <v>529</v>
      </c>
      <c r="C93" s="77" t="str">
        <f>VLOOKUP(B93,IF(A93="COMPOSICAO",S!$A:$D,I!$A:$D),2,FALSE)</f>
        <v>PROTETOR SOLAR FPS 30 COM 120ML</v>
      </c>
      <c r="D93" s="77"/>
      <c r="E93" s="77"/>
      <c r="F93" s="77"/>
      <c r="G93" s="16" t="str">
        <f>VLOOKUP(B93,IF(A93="COMPOSICAO",S!$A:$D,I!$A:$D),3,FALSE)</f>
        <v>UN</v>
      </c>
      <c r="H93" s="29">
        <v>1.8E-3</v>
      </c>
      <c r="I93" s="17">
        <f>IF(A93="COMPOSICAO",VLOOKUP("TOTAL - "&amp;B93,COMPOSICAO_AUX_5!$A:$J,10,FALSE),VLOOKUP(B93,I!$A:$D,4,FALSE))</f>
        <v>35.9</v>
      </c>
      <c r="J93" s="80">
        <f t="shared" si="3"/>
        <v>0.06</v>
      </c>
      <c r="K93" s="81"/>
    </row>
    <row r="94" spans="1:13" ht="30" customHeight="1" x14ac:dyDescent="0.25">
      <c r="A94" s="16" t="s">
        <v>306</v>
      </c>
      <c r="B94" s="16" t="s">
        <v>530</v>
      </c>
      <c r="C94" s="77" t="str">
        <f>VLOOKUP(B94,IF(A94="COMPOSICAO",S!$A:$D,I!$A:$D),2,FALSE)</f>
        <v>REFEIÇÃO - CAFÉ DA MANHÃ ( CAFÉ COM LEITE E DOIS PÃES COM MANTEIGA)</v>
      </c>
      <c r="D94" s="77"/>
      <c r="E94" s="77"/>
      <c r="F94" s="77"/>
      <c r="G94" s="16" t="str">
        <f>VLOOKUP(B94,IF(A94="COMPOSICAO",S!$A:$D,I!$A:$D),3,FALSE)</f>
        <v>UN</v>
      </c>
      <c r="H94" s="29">
        <v>0.1018</v>
      </c>
      <c r="I94" s="17">
        <f>IF(A94="COMPOSICAO",VLOOKUP("TOTAL - "&amp;B94,COMPOSICAO_AUX_5!$A:$J,10,FALSE),VLOOKUP(B94,I!$A:$D,4,FALSE))</f>
        <v>4.5</v>
      </c>
      <c r="J94" s="80">
        <f t="shared" si="3"/>
        <v>0.45</v>
      </c>
      <c r="K94" s="81"/>
    </row>
    <row r="95" spans="1:13" ht="30" customHeight="1" x14ac:dyDescent="0.25">
      <c r="A95" s="16" t="s">
        <v>306</v>
      </c>
      <c r="B95" s="20">
        <v>12892</v>
      </c>
      <c r="C95" s="77" t="str">
        <f>VLOOKUP(B95,IF(A95="COMPOSICAO",S!$A:$D,I!$A:$D),2,FALSE)</f>
        <v>LUVA RASPA DE COURO, CANO CURTO (PUNHO *7* CM)</v>
      </c>
      <c r="D95" s="77"/>
      <c r="E95" s="77"/>
      <c r="F95" s="77"/>
      <c r="G95" s="16" t="str">
        <f>VLOOKUP(B95,IF(A95="COMPOSICAO",S!$A:$D,I!$A:$D),3,FALSE)</f>
        <v>PAR</v>
      </c>
      <c r="H95" s="29">
        <v>2.3E-3</v>
      </c>
      <c r="I95" s="17">
        <f>IF(A95="COMPOSICAO",VLOOKUP("TOTAL - "&amp;B95,COMPOSICAO_AUX_5!$A:$J,10,FALSE),VLOOKUP(B95,I!$A:$D,4,FALSE))</f>
        <v>12.91</v>
      </c>
      <c r="J95" s="80">
        <f t="shared" si="3"/>
        <v>0.02</v>
      </c>
      <c r="K95" s="81"/>
    </row>
    <row r="96" spans="1:13" ht="30" customHeight="1" x14ac:dyDescent="0.25">
      <c r="A96" s="16" t="s">
        <v>306</v>
      </c>
      <c r="B96" s="20">
        <v>12893</v>
      </c>
      <c r="C96" s="77" t="str">
        <f>VLOOKUP(B96,IF(A96="COMPOSICAO",S!$A:$D,I!$A:$D),2,FALSE)</f>
        <v>BOTA DE SEGURANCA COM BIQUEIRA DE ACO E COLARINHO ACOLCHOADO</v>
      </c>
      <c r="D96" s="77"/>
      <c r="E96" s="77"/>
      <c r="F96" s="77"/>
      <c r="G96" s="16" t="str">
        <f>VLOOKUP(B96,IF(A96="COMPOSICAO",S!$A:$D,I!$A:$D),3,FALSE)</f>
        <v>PAR</v>
      </c>
      <c r="H96" s="29">
        <v>8.0000000000000004E-4</v>
      </c>
      <c r="I96" s="17">
        <f>IF(A96="COMPOSICAO",VLOOKUP("TOTAL - "&amp;B96,COMPOSICAO_AUX_5!$A:$J,10,FALSE),VLOOKUP(B96,I!$A:$D,4,FALSE))</f>
        <v>68.88</v>
      </c>
      <c r="J96" s="80">
        <f t="shared" si="3"/>
        <v>0.05</v>
      </c>
      <c r="K96" s="81"/>
    </row>
    <row r="97" spans="1:13" ht="30" customHeight="1" x14ac:dyDescent="0.25">
      <c r="A97" s="16" t="s">
        <v>306</v>
      </c>
      <c r="B97" s="20">
        <v>12894</v>
      </c>
      <c r="C97" s="77" t="str">
        <f>VLOOKUP(B97,IF(A97="COMPOSICAO",S!$A:$D,I!$A:$D),2,FALSE)</f>
        <v>CAPA PARA CHUVA EM PVC COM FORRO DE POLIESTER, COM CAPUZ (AMARELA OU AZUL)</v>
      </c>
      <c r="D97" s="77"/>
      <c r="E97" s="77"/>
      <c r="F97" s="77"/>
      <c r="G97" s="16" t="str">
        <f>VLOOKUP(B97,IF(A97="COMPOSICAO",S!$A:$D,I!$A:$D),3,FALSE)</f>
        <v>UN</v>
      </c>
      <c r="H97" s="29">
        <v>2.0000000000000001E-4</v>
      </c>
      <c r="I97" s="17">
        <f>IF(A97="COMPOSICAO",VLOOKUP("TOTAL - "&amp;B97,COMPOSICAO_AUX_5!$A:$J,10,FALSE),VLOOKUP(B97,I!$A:$D,4,FALSE))</f>
        <v>18.649999999999999</v>
      </c>
      <c r="J97" s="80">
        <f t="shared" si="3"/>
        <v>0</v>
      </c>
      <c r="K97" s="81"/>
    </row>
    <row r="98" spans="1:13" ht="30" customHeight="1" x14ac:dyDescent="0.25">
      <c r="A98" s="16" t="s">
        <v>306</v>
      </c>
      <c r="B98" s="20">
        <v>12895</v>
      </c>
      <c r="C98" s="77" t="str">
        <f>VLOOKUP(B98,IF(A98="COMPOSICAO",S!$A:$D,I!$A:$D),2,FALSE)</f>
        <v>CAPACETE DE SEGURANCA ABA FRONTAL COM SUSPENSAO DE POLIETILENO, SEM JUGULAR (CLASSE B)</v>
      </c>
      <c r="D98" s="77"/>
      <c r="E98" s="77"/>
      <c r="F98" s="77"/>
      <c r="G98" s="16" t="str">
        <f>VLOOKUP(B98,IF(A98="COMPOSICAO",S!$A:$D,I!$A:$D),3,FALSE)</f>
        <v>UN</v>
      </c>
      <c r="H98" s="29">
        <v>5.9999999999999995E-4</v>
      </c>
      <c r="I98" s="17">
        <f>IF(A98="COMPOSICAO",VLOOKUP("TOTAL - "&amp;B98,COMPOSICAO_AUX_5!$A:$J,10,FALSE),VLOOKUP(B98,I!$A:$D,4,FALSE))</f>
        <v>14.35</v>
      </c>
      <c r="J98" s="80">
        <f t="shared" si="3"/>
        <v>0</v>
      </c>
      <c r="K98" s="81"/>
    </row>
    <row r="99" spans="1:13" ht="15" customHeight="1" x14ac:dyDescent="0.25">
      <c r="A99" s="23" t="s">
        <v>811</v>
      </c>
      <c r="B99" s="24"/>
      <c r="C99" s="24"/>
      <c r="D99" s="24"/>
      <c r="E99" s="24"/>
      <c r="F99" s="24"/>
      <c r="G99" s="25"/>
      <c r="H99" s="26"/>
      <c r="I99" s="27"/>
      <c r="J99" s="80">
        <f>SUM(J82:K98)</f>
        <v>2.7800000000000002</v>
      </c>
      <c r="K99" s="81"/>
    </row>
    <row r="100" spans="1:13" ht="15" customHeight="1" x14ac:dyDescent="0.25">
      <c r="A100" s="3"/>
      <c r="B100" s="3"/>
      <c r="C100" s="3"/>
      <c r="D100" s="3"/>
      <c r="E100" s="3"/>
      <c r="F100" s="3"/>
      <c r="G100" s="3"/>
      <c r="H100" s="3"/>
      <c r="I100" s="3"/>
      <c r="J100" s="3"/>
      <c r="K100" s="3"/>
    </row>
    <row r="101" spans="1:13" ht="15" customHeight="1" x14ac:dyDescent="0.25">
      <c r="A101" s="10" t="s">
        <v>295</v>
      </c>
      <c r="B101" s="10" t="s">
        <v>31</v>
      </c>
      <c r="C101" s="82" t="s">
        <v>7</v>
      </c>
      <c r="D101" s="83"/>
      <c r="E101" s="83"/>
      <c r="F101" s="83"/>
      <c r="G101" s="6" t="s">
        <v>32</v>
      </c>
      <c r="H101" s="6" t="s">
        <v>296</v>
      </c>
      <c r="I101" s="6" t="s">
        <v>297</v>
      </c>
      <c r="J101" s="57" t="s">
        <v>9</v>
      </c>
      <c r="K101" s="58"/>
    </row>
    <row r="102" spans="1:13" ht="30" customHeight="1" x14ac:dyDescent="0.25">
      <c r="A102" s="6" t="s">
        <v>502</v>
      </c>
      <c r="B102" s="28">
        <v>95309</v>
      </c>
      <c r="C102" s="91" t="str">
        <f>VLOOKUP(B102,S!$A:$D,2,FALSE)</f>
        <v>CURSO DE CAPACITAÇÃO PARA AJUDANTE DE CARPINTEIRO (ENCARGOS COMPLEMENTARES) - HORISTA</v>
      </c>
      <c r="D102" s="91"/>
      <c r="E102" s="91"/>
      <c r="F102" s="92"/>
      <c r="G102" s="6" t="str">
        <f>VLOOKUP(B102,S!$A:$D,3,FALSE)</f>
        <v>H</v>
      </c>
      <c r="H102" s="21"/>
      <c r="I102" s="21">
        <f>J104</f>
        <v>0.12</v>
      </c>
      <c r="J102" s="76"/>
      <c r="K102" s="72"/>
      <c r="L102" s="21">
        <f>VLOOKUP(B102,S!$A:$D,4,FALSE)</f>
        <v>0.12</v>
      </c>
      <c r="M102" s="6" t="str">
        <f>IF(ROUND((L102-I102),2)=0,"OK, confere com a tabela.",IF(ROUND((L102-I102),2)&lt;0,"ACIMA ("&amp;TEXT(ROUND(I102*100/L102,4),"0,0000")&amp;" %) da tabela.","ABAIXO ("&amp;TEXT(ROUND(I102*100/L102,4),"0,0000")&amp;" %) da tabela."))</f>
        <v>OK, confere com a tabela.</v>
      </c>
    </row>
    <row r="103" spans="1:13" ht="15" customHeight="1" x14ac:dyDescent="0.25">
      <c r="A103" s="16" t="s">
        <v>306</v>
      </c>
      <c r="B103" s="20">
        <v>6117</v>
      </c>
      <c r="C103" s="77" t="str">
        <f>VLOOKUP(B103,IF(A103="COMPOSICAO",S!$A:$D,I!$A:$D),2,FALSE)</f>
        <v>CARPINTEIRO AUXILIAR</v>
      </c>
      <c r="D103" s="77"/>
      <c r="E103" s="77"/>
      <c r="F103" s="77"/>
      <c r="G103" s="16" t="str">
        <f>VLOOKUP(B103,IF(A103="COMPOSICAO",S!$A:$D,I!$A:$D),3,FALSE)</f>
        <v>H</v>
      </c>
      <c r="H103" s="29">
        <v>1.0500000000000001E-2</v>
      </c>
      <c r="I103" s="17">
        <f>IF(A103="COMPOSICAO",VLOOKUP("TOTAL - "&amp;B103,COMPOSICAO_AUX_5!$A:$J,10,FALSE),VLOOKUP(B103,I!$A:$D,4,FALSE))</f>
        <v>11.75</v>
      </c>
      <c r="J103" s="80">
        <f>TRUNC(H103*I103,2)</f>
        <v>0.12</v>
      </c>
      <c r="K103" s="81"/>
    </row>
    <row r="104" spans="1:13" ht="15" customHeight="1" x14ac:dyDescent="0.25">
      <c r="A104" s="23" t="s">
        <v>785</v>
      </c>
      <c r="B104" s="24"/>
      <c r="C104" s="24"/>
      <c r="D104" s="24"/>
      <c r="E104" s="24"/>
      <c r="F104" s="24"/>
      <c r="G104" s="25"/>
      <c r="H104" s="26"/>
      <c r="I104" s="27"/>
      <c r="J104" s="80">
        <f>SUM(J102:K103)</f>
        <v>0.12</v>
      </c>
      <c r="K104" s="81"/>
    </row>
    <row r="105" spans="1:13" ht="15" customHeight="1" x14ac:dyDescent="0.25">
      <c r="A105" s="3"/>
      <c r="B105" s="3"/>
      <c r="C105" s="3"/>
      <c r="D105" s="3"/>
      <c r="E105" s="3"/>
      <c r="F105" s="3"/>
      <c r="G105" s="3"/>
      <c r="H105" s="3"/>
      <c r="I105" s="3"/>
      <c r="J105" s="3"/>
      <c r="K105" s="3"/>
    </row>
    <row r="106" spans="1:13" ht="15" customHeight="1" x14ac:dyDescent="0.25">
      <c r="A106" s="10" t="s">
        <v>295</v>
      </c>
      <c r="B106" s="10" t="s">
        <v>31</v>
      </c>
      <c r="C106" s="82" t="s">
        <v>7</v>
      </c>
      <c r="D106" s="83"/>
      <c r="E106" s="83"/>
      <c r="F106" s="83"/>
      <c r="G106" s="6" t="s">
        <v>32</v>
      </c>
      <c r="H106" s="6" t="s">
        <v>296</v>
      </c>
      <c r="I106" s="6" t="s">
        <v>297</v>
      </c>
      <c r="J106" s="57" t="s">
        <v>9</v>
      </c>
      <c r="K106" s="58"/>
    </row>
    <row r="107" spans="1:13" ht="30" customHeight="1" x14ac:dyDescent="0.25">
      <c r="A107" s="6" t="s">
        <v>502</v>
      </c>
      <c r="B107" s="28">
        <v>95330</v>
      </c>
      <c r="C107" s="91" t="str">
        <f>VLOOKUP(B107,S!$A:$D,2,FALSE)</f>
        <v>CURSO DE CAPACITAÇÃO PARA CARPINTEIRO DE FÔRMAS (ENCARGOS COMPLEMENTARES) - HORISTA</v>
      </c>
      <c r="D107" s="91"/>
      <c r="E107" s="91"/>
      <c r="F107" s="92"/>
      <c r="G107" s="6" t="str">
        <f>VLOOKUP(B107,S!$A:$D,3,FALSE)</f>
        <v>H</v>
      </c>
      <c r="H107" s="21"/>
      <c r="I107" s="21">
        <f>J109</f>
        <v>0.12</v>
      </c>
      <c r="J107" s="76"/>
      <c r="K107" s="72"/>
      <c r="L107" s="21">
        <f>VLOOKUP(B107,S!$A:$D,4,FALSE)</f>
        <v>0.12</v>
      </c>
      <c r="M107" s="6" t="str">
        <f>IF(ROUND((L107-I107),2)=0,"OK, confere com a tabela.",IF(ROUND((L107-I107),2)&lt;0,"ACIMA ("&amp;TEXT(ROUND(I107*100/L107,4),"0,0000")&amp;" %) da tabela.","ABAIXO ("&amp;TEXT(ROUND(I107*100/L107,4),"0,0000")&amp;" %) da tabela."))</f>
        <v>OK, confere com a tabela.</v>
      </c>
    </row>
    <row r="108" spans="1:13" ht="15" customHeight="1" x14ac:dyDescent="0.25">
      <c r="A108" s="16" t="s">
        <v>306</v>
      </c>
      <c r="B108" s="20">
        <v>1213</v>
      </c>
      <c r="C108" s="77" t="str">
        <f>VLOOKUP(B108,IF(A108="COMPOSICAO",S!$A:$D,I!$A:$D),2,FALSE)</f>
        <v>CARPINTEIRO DE FORMAS</v>
      </c>
      <c r="D108" s="77"/>
      <c r="E108" s="77"/>
      <c r="F108" s="77"/>
      <c r="G108" s="16" t="str">
        <f>VLOOKUP(B108,IF(A108="COMPOSICAO",S!$A:$D,I!$A:$D),3,FALSE)</f>
        <v>H</v>
      </c>
      <c r="H108" s="29">
        <v>8.2000000000000007E-3</v>
      </c>
      <c r="I108" s="17">
        <f>IF(A108="COMPOSICAO",VLOOKUP("TOTAL - "&amp;B108,COMPOSICAO_AUX_5!$A:$J,10,FALSE),VLOOKUP(B108,I!$A:$D,4,FALSE))</f>
        <v>14.93</v>
      </c>
      <c r="J108" s="80">
        <f>TRUNC(H108*I108,2)</f>
        <v>0.12</v>
      </c>
      <c r="K108" s="81"/>
    </row>
    <row r="109" spans="1:13" ht="15" customHeight="1" x14ac:dyDescent="0.25">
      <c r="A109" s="23" t="s">
        <v>738</v>
      </c>
      <c r="B109" s="24"/>
      <c r="C109" s="24"/>
      <c r="D109" s="24"/>
      <c r="E109" s="24"/>
      <c r="F109" s="24"/>
      <c r="G109" s="25"/>
      <c r="H109" s="26"/>
      <c r="I109" s="27"/>
      <c r="J109" s="80">
        <f>SUM(J107:K108)</f>
        <v>0.12</v>
      </c>
      <c r="K109" s="81"/>
    </row>
    <row r="110" spans="1:13" ht="15" customHeight="1" x14ac:dyDescent="0.25">
      <c r="A110" s="3"/>
      <c r="B110" s="3"/>
      <c r="C110" s="3"/>
      <c r="D110" s="3"/>
      <c r="E110" s="3"/>
      <c r="F110" s="3"/>
      <c r="G110" s="3"/>
      <c r="H110" s="3"/>
      <c r="I110" s="3"/>
      <c r="J110" s="3"/>
      <c r="K110" s="3"/>
    </row>
    <row r="111" spans="1:13" ht="15" customHeight="1" x14ac:dyDescent="0.25">
      <c r="A111" s="10" t="s">
        <v>295</v>
      </c>
      <c r="B111" s="10" t="s">
        <v>31</v>
      </c>
      <c r="C111" s="82" t="s">
        <v>7</v>
      </c>
      <c r="D111" s="83"/>
      <c r="E111" s="83"/>
      <c r="F111" s="83"/>
      <c r="G111" s="6" t="s">
        <v>32</v>
      </c>
      <c r="H111" s="6" t="s">
        <v>296</v>
      </c>
      <c r="I111" s="6" t="s">
        <v>297</v>
      </c>
      <c r="J111" s="57" t="s">
        <v>9</v>
      </c>
      <c r="K111" s="58"/>
    </row>
    <row r="112" spans="1:13" ht="30" customHeight="1" x14ac:dyDescent="0.25">
      <c r="A112" s="6" t="s">
        <v>502</v>
      </c>
      <c r="B112" s="28">
        <v>88297</v>
      </c>
      <c r="C112" s="91" t="str">
        <f>VLOOKUP(B112,S!$A:$D,2,FALSE)</f>
        <v>OPERADOR DE MÁQUINAS E EQUIPAMENTOS COM ENCARGOS COMPLEMENTARES</v>
      </c>
      <c r="D112" s="91"/>
      <c r="E112" s="91"/>
      <c r="F112" s="92"/>
      <c r="G112" s="6" t="str">
        <f>VLOOKUP(B112,S!$A:$D,3,FALSE)</f>
        <v>H</v>
      </c>
      <c r="H112" s="21"/>
      <c r="I112" s="21">
        <f>J121</f>
        <v>25.04</v>
      </c>
      <c r="J112" s="76"/>
      <c r="K112" s="72"/>
      <c r="L112" s="21">
        <f>VLOOKUP(B112,S!$A:$D,4,FALSE)</f>
        <v>25.04</v>
      </c>
      <c r="M112" s="6" t="str">
        <f>IF(ROUND((L112-I112),2)=0,"OK, confere com a tabela.",IF(ROUND((L112-I112),2)&lt;0,"ACIMA ("&amp;TEXT(ROUND(I112*100/L112,4),"0,0000")&amp;" %) da tabela.","ABAIXO ("&amp;TEXT(ROUND(I112*100/L112,4),"0,0000")&amp;" %) da tabela."))</f>
        <v>OK, confere com a tabela.</v>
      </c>
    </row>
    <row r="113" spans="1:13" ht="30" customHeight="1" x14ac:dyDescent="0.25">
      <c r="A113" s="16" t="s">
        <v>306</v>
      </c>
      <c r="B113" s="20">
        <v>4230</v>
      </c>
      <c r="C113" s="77" t="str">
        <f>VLOOKUP(B113,IF(A113="COMPOSICAO",S!$A:$D,I!$A:$D),2,FALSE)</f>
        <v>OPERADOR DE MAQUINAS E TRATORES DIVERSOS (TERRAPLANAGEM)</v>
      </c>
      <c r="D113" s="77"/>
      <c r="E113" s="77"/>
      <c r="F113" s="77"/>
      <c r="G113" s="16" t="str">
        <f>VLOOKUP(B113,IF(A113="COMPOSICAO",S!$A:$D,I!$A:$D),3,FALSE)</f>
        <v>H</v>
      </c>
      <c r="H113" s="17">
        <v>1</v>
      </c>
      <c r="I113" s="17">
        <f>IF(A113="COMPOSICAO",VLOOKUP("TOTAL - "&amp;B113,COMPOSICAO_AUX_5!$A:$J,10,FALSE),VLOOKUP(B113,I!$A:$D,4,FALSE))</f>
        <v>21.06</v>
      </c>
      <c r="J113" s="80">
        <f t="shared" ref="J113:J120" si="4">TRUNC(H113*I113,2)</f>
        <v>21.06</v>
      </c>
      <c r="K113" s="81"/>
    </row>
    <row r="114" spans="1:13" ht="15" customHeight="1" x14ac:dyDescent="0.25">
      <c r="A114" s="16" t="s">
        <v>306</v>
      </c>
      <c r="B114" s="20">
        <v>37370</v>
      </c>
      <c r="C114" s="77" t="str">
        <f>VLOOKUP(B114,IF(A114="COMPOSICAO",S!$A:$D,I!$A:$D),2,FALSE)</f>
        <v>ALIMENTACAO - HORISTA (COLETADO CAIXA)</v>
      </c>
      <c r="D114" s="77"/>
      <c r="E114" s="77"/>
      <c r="F114" s="77"/>
      <c r="G114" s="16" t="str">
        <f>VLOOKUP(B114,IF(A114="COMPOSICAO",S!$A:$D,I!$A:$D),3,FALSE)</f>
        <v>H</v>
      </c>
      <c r="H114" s="17">
        <v>1</v>
      </c>
      <c r="I114" s="17">
        <f>IF(A114="COMPOSICAO",VLOOKUP("TOTAL - "&amp;B114,COMPOSICAO_AUX_5!$A:$J,10,FALSE),VLOOKUP(B114,I!$A:$D,4,FALSE))</f>
        <v>1.86</v>
      </c>
      <c r="J114" s="80">
        <f t="shared" si="4"/>
        <v>1.86</v>
      </c>
      <c r="K114" s="81"/>
    </row>
    <row r="115" spans="1:13" ht="15" customHeight="1" x14ac:dyDescent="0.25">
      <c r="A115" s="16" t="s">
        <v>306</v>
      </c>
      <c r="B115" s="20">
        <v>37371</v>
      </c>
      <c r="C115" s="77" t="str">
        <f>VLOOKUP(B115,IF(A115="COMPOSICAO",S!$A:$D,I!$A:$D),2,FALSE)</f>
        <v>TRANSPORTE - HORISTA (COLETADO CAIXA)</v>
      </c>
      <c r="D115" s="77"/>
      <c r="E115" s="77"/>
      <c r="F115" s="77"/>
      <c r="G115" s="16" t="str">
        <f>VLOOKUP(B115,IF(A115="COMPOSICAO",S!$A:$D,I!$A:$D),3,FALSE)</f>
        <v>H</v>
      </c>
      <c r="H115" s="17">
        <v>1</v>
      </c>
      <c r="I115" s="17">
        <f>IF(A115="COMPOSICAO",VLOOKUP("TOTAL - "&amp;B115,COMPOSICAO_AUX_5!$A:$J,10,FALSE),VLOOKUP(B115,I!$A:$D,4,FALSE))</f>
        <v>0.7</v>
      </c>
      <c r="J115" s="80">
        <f t="shared" si="4"/>
        <v>0.7</v>
      </c>
      <c r="K115" s="81"/>
    </row>
    <row r="116" spans="1:13" ht="15" customHeight="1" x14ac:dyDescent="0.25">
      <c r="A116" s="16" t="s">
        <v>306</v>
      </c>
      <c r="B116" s="20">
        <v>37372</v>
      </c>
      <c r="C116" s="77" t="str">
        <f>VLOOKUP(B116,IF(A116="COMPOSICAO",S!$A:$D,I!$A:$D),2,FALSE)</f>
        <v>EXAMES - HORISTA (COLETADO CAIXA)</v>
      </c>
      <c r="D116" s="77"/>
      <c r="E116" s="77"/>
      <c r="F116" s="77"/>
      <c r="G116" s="16" t="str">
        <f>VLOOKUP(B116,IF(A116="COMPOSICAO",S!$A:$D,I!$A:$D),3,FALSE)</f>
        <v>H</v>
      </c>
      <c r="H116" s="17">
        <v>1</v>
      </c>
      <c r="I116" s="17">
        <f>IF(A116="COMPOSICAO",VLOOKUP("TOTAL - "&amp;B116,COMPOSICAO_AUX_5!$A:$J,10,FALSE),VLOOKUP(B116,I!$A:$D,4,FALSE))</f>
        <v>0.55000000000000004</v>
      </c>
      <c r="J116" s="80">
        <f t="shared" si="4"/>
        <v>0.55000000000000004</v>
      </c>
      <c r="K116" s="81"/>
    </row>
    <row r="117" spans="1:13" ht="15" customHeight="1" x14ac:dyDescent="0.25">
      <c r="A117" s="16" t="s">
        <v>306</v>
      </c>
      <c r="B117" s="20">
        <v>37373</v>
      </c>
      <c r="C117" s="77" t="str">
        <f>VLOOKUP(B117,IF(A117="COMPOSICAO",S!$A:$D,I!$A:$D),2,FALSE)</f>
        <v>SEGURO - HORISTA (COLETADO CAIXA)</v>
      </c>
      <c r="D117" s="77"/>
      <c r="E117" s="77"/>
      <c r="F117" s="77"/>
      <c r="G117" s="16" t="str">
        <f>VLOOKUP(B117,IF(A117="COMPOSICAO",S!$A:$D,I!$A:$D),3,FALSE)</f>
        <v>H</v>
      </c>
      <c r="H117" s="17">
        <v>1</v>
      </c>
      <c r="I117" s="17">
        <f>IF(A117="COMPOSICAO",VLOOKUP("TOTAL - "&amp;B117,COMPOSICAO_AUX_5!$A:$J,10,FALSE),VLOOKUP(B117,I!$A:$D,4,FALSE))</f>
        <v>0.06</v>
      </c>
      <c r="J117" s="80">
        <f t="shared" si="4"/>
        <v>0.06</v>
      </c>
      <c r="K117" s="81"/>
    </row>
    <row r="118" spans="1:13" ht="45" customHeight="1" x14ac:dyDescent="0.25">
      <c r="A118" s="16" t="s">
        <v>306</v>
      </c>
      <c r="B118" s="20">
        <v>43464</v>
      </c>
      <c r="C118" s="77" t="str">
        <f>VLOOKUP(B118,IF(A118="COMPOSICAO",S!$A:$D,I!$A:$D),2,FALSE)</f>
        <v>FERRAMENTAS - FAMILIA OPERADOR ESCAVADEIRA - HORISTA (ENCARGOS COMPLEMENTARES - COLETADO CAIXA)</v>
      </c>
      <c r="D118" s="77"/>
      <c r="E118" s="77"/>
      <c r="F118" s="77"/>
      <c r="G118" s="16" t="str">
        <f>VLOOKUP(B118,IF(A118="COMPOSICAO",S!$A:$D,I!$A:$D),3,FALSE)</f>
        <v>H</v>
      </c>
      <c r="H118" s="17">
        <v>1</v>
      </c>
      <c r="I118" s="17">
        <f>IF(A118="COMPOSICAO",VLOOKUP("TOTAL - "&amp;B118,COMPOSICAO_AUX_5!$A:$J,10,FALSE),VLOOKUP(B118,I!$A:$D,4,FALSE))</f>
        <v>0.01</v>
      </c>
      <c r="J118" s="80">
        <f t="shared" si="4"/>
        <v>0.01</v>
      </c>
      <c r="K118" s="81"/>
    </row>
    <row r="119" spans="1:13" ht="30" customHeight="1" x14ac:dyDescent="0.25">
      <c r="A119" s="16" t="s">
        <v>306</v>
      </c>
      <c r="B119" s="20">
        <v>43488</v>
      </c>
      <c r="C119" s="77" t="str">
        <f>VLOOKUP(B119,IF(A119="COMPOSICAO",S!$A:$D,I!$A:$D),2,FALSE)</f>
        <v>EPI - FAMILIA OPERADOR ESCAVADEIRA - HORISTA (ENCARGOS COMPLEMENTARES - COLETADO CAIXA)</v>
      </c>
      <c r="D119" s="77"/>
      <c r="E119" s="77"/>
      <c r="F119" s="77"/>
      <c r="G119" s="16" t="str">
        <f>VLOOKUP(B119,IF(A119="COMPOSICAO",S!$A:$D,I!$A:$D),3,FALSE)</f>
        <v>H</v>
      </c>
      <c r="H119" s="17">
        <v>1</v>
      </c>
      <c r="I119" s="17">
        <f>IF(A119="COMPOSICAO",VLOOKUP("TOTAL - "&amp;B119,COMPOSICAO_AUX_5!$A:$J,10,FALSE),VLOOKUP(B119,I!$A:$D,4,FALSE))</f>
        <v>0.63</v>
      </c>
      <c r="J119" s="80">
        <f t="shared" si="4"/>
        <v>0.63</v>
      </c>
      <c r="K119" s="81"/>
    </row>
    <row r="120" spans="1:13" ht="45" customHeight="1" x14ac:dyDescent="0.25">
      <c r="A120" s="16" t="s">
        <v>302</v>
      </c>
      <c r="B120" s="20">
        <v>95360</v>
      </c>
      <c r="C120" s="77" t="str">
        <f>VLOOKUP(B120,IF(A120="COMPOSICAO",S!$A:$D,I!$A:$D),2,FALSE)</f>
        <v>CURSO DE CAPACITAÇÃO PARA OPERADOR DE MÁQUINAS E EQUIPAMENTOS (ENCARGOS COMPLEMENTARES) - HORISTA</v>
      </c>
      <c r="D120" s="77"/>
      <c r="E120" s="77"/>
      <c r="F120" s="77"/>
      <c r="G120" s="16" t="str">
        <f>VLOOKUP(B120,IF(A120="COMPOSICAO",S!$A:$D,I!$A:$D),3,FALSE)</f>
        <v>H</v>
      </c>
      <c r="H120" s="17">
        <v>1</v>
      </c>
      <c r="I120" s="17">
        <f>IF(A120="COMPOSICAO",VLOOKUP("TOTAL - "&amp;B120,COMPOSICAO_AUX_5!$A:$J,10,FALSE),VLOOKUP(B120,I!$A:$D,4,FALSE))</f>
        <v>0.17</v>
      </c>
      <c r="J120" s="80">
        <f t="shared" si="4"/>
        <v>0.17</v>
      </c>
      <c r="K120" s="81"/>
    </row>
    <row r="121" spans="1:13" ht="15" customHeight="1" x14ac:dyDescent="0.25">
      <c r="A121" s="23" t="s">
        <v>756</v>
      </c>
      <c r="B121" s="24"/>
      <c r="C121" s="24"/>
      <c r="D121" s="24"/>
      <c r="E121" s="24"/>
      <c r="F121" s="24"/>
      <c r="G121" s="25"/>
      <c r="H121" s="26"/>
      <c r="I121" s="27"/>
      <c r="J121" s="80">
        <f>SUM(J112:K120)</f>
        <v>25.04</v>
      </c>
      <c r="K121" s="81"/>
    </row>
    <row r="122" spans="1:13" ht="15" customHeight="1" x14ac:dyDescent="0.25">
      <c r="A122" s="3"/>
      <c r="B122" s="3"/>
      <c r="C122" s="3"/>
      <c r="D122" s="3"/>
      <c r="E122" s="3"/>
      <c r="F122" s="3"/>
      <c r="G122" s="3"/>
      <c r="H122" s="3"/>
      <c r="I122" s="3"/>
      <c r="J122" s="3"/>
      <c r="K122" s="3"/>
    </row>
    <row r="123" spans="1:13" ht="15" customHeight="1" x14ac:dyDescent="0.25">
      <c r="A123" s="10" t="s">
        <v>295</v>
      </c>
      <c r="B123" s="10" t="s">
        <v>31</v>
      </c>
      <c r="C123" s="82" t="s">
        <v>7</v>
      </c>
      <c r="D123" s="83"/>
      <c r="E123" s="83"/>
      <c r="F123" s="83"/>
      <c r="G123" s="6" t="s">
        <v>32</v>
      </c>
      <c r="H123" s="6" t="s">
        <v>296</v>
      </c>
      <c r="I123" s="6" t="s">
        <v>297</v>
      </c>
      <c r="J123" s="57" t="s">
        <v>9</v>
      </c>
      <c r="K123" s="58"/>
    </row>
    <row r="124" spans="1:13" ht="45" customHeight="1" x14ac:dyDescent="0.25">
      <c r="A124" s="6" t="s">
        <v>572</v>
      </c>
      <c r="B124" s="28">
        <v>91688</v>
      </c>
      <c r="C124" s="91" t="str">
        <f>VLOOKUP(B124,S!$A:$D,2,FALSE)</f>
        <v>SERRA CIRCULAR DE BANCADA COM MOTOR ELÉTRICO POTÊNCIA DE 5HP, COM COIFA PARA DISCO 10" - DEPRECIAÇÃO. AF_08/2015</v>
      </c>
      <c r="D124" s="91"/>
      <c r="E124" s="91"/>
      <c r="F124" s="92"/>
      <c r="G124" s="6" t="str">
        <f>VLOOKUP(B124,S!$A:$D,3,FALSE)</f>
        <v>H</v>
      </c>
      <c r="H124" s="21"/>
      <c r="I124" s="21">
        <f>J126</f>
        <v>0.09</v>
      </c>
      <c r="J124" s="76"/>
      <c r="K124" s="72"/>
      <c r="L124" s="21">
        <f>VLOOKUP(B124,S!$A:$D,4,FALSE)</f>
        <v>0.09</v>
      </c>
      <c r="M124" s="6" t="str">
        <f>IF(ROUND((L124-I124),2)=0,"OK, confere com a tabela.",IF(ROUND((L124-I124),2)&lt;0,"ACIMA ("&amp;TEXT(ROUND(I124*100/L124,4),"0,0000")&amp;" %) da tabela.","ABAIXO ("&amp;TEXT(ROUND(I124*100/L124,4),"0,0000")&amp;" %) da tabela."))</f>
        <v>OK, confere com a tabela.</v>
      </c>
    </row>
    <row r="125" spans="1:13" ht="45" customHeight="1" x14ac:dyDescent="0.25">
      <c r="A125" s="16" t="s">
        <v>306</v>
      </c>
      <c r="B125" s="20">
        <v>14618</v>
      </c>
      <c r="C125" s="77" t="str">
        <f>VLOOKUP(B125,IF(A125="COMPOSICAO",S!$A:$D,I!$A:$D),2,FALSE)</f>
        <v>SERRA CIRCULAR DE BANCADA COM MOTOR ELETRICO, POTENCIA DE *1600* W, PARA DISCO DE DIAMETRO DE 10" (250 MM)</v>
      </c>
      <c r="D125" s="77"/>
      <c r="E125" s="77"/>
      <c r="F125" s="77"/>
      <c r="G125" s="16" t="str">
        <f>VLOOKUP(B125,IF(A125="COMPOSICAO",S!$A:$D,I!$A:$D),3,FALSE)</f>
        <v>UN</v>
      </c>
      <c r="H125" s="32">
        <v>7.2000000000000002E-5</v>
      </c>
      <c r="I125" s="17">
        <f>IF(A125="COMPOSICAO",VLOOKUP("TOTAL - "&amp;B125,COMPOSICAO_AUX_5!$A:$J,10,FALSE),VLOOKUP(B125,I!$A:$D,4,FALSE))</f>
        <v>1385.85</v>
      </c>
      <c r="J125" s="80">
        <f>TRUNC(H125*I125,2)</f>
        <v>0.09</v>
      </c>
      <c r="K125" s="81"/>
    </row>
    <row r="126" spans="1:13" ht="15" customHeight="1" x14ac:dyDescent="0.25">
      <c r="A126" s="23" t="s">
        <v>835</v>
      </c>
      <c r="B126" s="24"/>
      <c r="C126" s="24"/>
      <c r="D126" s="24"/>
      <c r="E126" s="24"/>
      <c r="F126" s="24"/>
      <c r="G126" s="25"/>
      <c r="H126" s="26"/>
      <c r="I126" s="27"/>
      <c r="J126" s="80">
        <f>SUM(J124:K125)</f>
        <v>0.09</v>
      </c>
      <c r="K126" s="81"/>
    </row>
    <row r="127" spans="1:13" ht="15" customHeight="1" x14ac:dyDescent="0.25">
      <c r="A127" s="3"/>
      <c r="B127" s="3"/>
      <c r="C127" s="3"/>
      <c r="D127" s="3"/>
      <c r="E127" s="3"/>
      <c r="F127" s="3"/>
      <c r="G127" s="3"/>
      <c r="H127" s="3"/>
      <c r="I127" s="3"/>
      <c r="J127" s="3"/>
      <c r="K127" s="3"/>
    </row>
    <row r="128" spans="1:13" ht="15" customHeight="1" x14ac:dyDescent="0.25">
      <c r="A128" s="10" t="s">
        <v>295</v>
      </c>
      <c r="B128" s="10" t="s">
        <v>31</v>
      </c>
      <c r="C128" s="82" t="s">
        <v>7</v>
      </c>
      <c r="D128" s="83"/>
      <c r="E128" s="83"/>
      <c r="F128" s="83"/>
      <c r="G128" s="6" t="s">
        <v>32</v>
      </c>
      <c r="H128" s="6" t="s">
        <v>296</v>
      </c>
      <c r="I128" s="6" t="s">
        <v>297</v>
      </c>
      <c r="J128" s="57" t="s">
        <v>9</v>
      </c>
      <c r="K128" s="58"/>
    </row>
    <row r="129" spans="1:13" ht="45" customHeight="1" x14ac:dyDescent="0.25">
      <c r="A129" s="6" t="s">
        <v>572</v>
      </c>
      <c r="B129" s="28">
        <v>91689</v>
      </c>
      <c r="C129" s="91" t="str">
        <f>VLOOKUP(B129,S!$A:$D,2,FALSE)</f>
        <v>SERRA CIRCULAR DE BANCADA COM MOTOR ELÉTRICO POTÊNCIA DE 5HP, COM COIFA PARA DISCO 10" - JUROS. AF_08/2015</v>
      </c>
      <c r="D129" s="91"/>
      <c r="E129" s="91"/>
      <c r="F129" s="92"/>
      <c r="G129" s="6" t="str">
        <f>VLOOKUP(B129,S!$A:$D,3,FALSE)</f>
        <v>H</v>
      </c>
      <c r="H129" s="21"/>
      <c r="I129" s="21">
        <f>J131</f>
        <v>0.01</v>
      </c>
      <c r="J129" s="76"/>
      <c r="K129" s="72"/>
      <c r="L129" s="21">
        <f>VLOOKUP(B129,S!$A:$D,4,FALSE)</f>
        <v>0.01</v>
      </c>
      <c r="M129" s="6" t="str">
        <f>IF(ROUND((L129-I129),2)=0,"OK, confere com a tabela.",IF(ROUND((L129-I129),2)&lt;0,"ACIMA ("&amp;TEXT(ROUND(I129*100/L129,4),"0,0000")&amp;" %) da tabela.","ABAIXO ("&amp;TEXT(ROUND(I129*100/L129,4),"0,0000")&amp;" %) da tabela."))</f>
        <v>OK, confere com a tabela.</v>
      </c>
    </row>
    <row r="130" spans="1:13" ht="45" customHeight="1" x14ac:dyDescent="0.25">
      <c r="A130" s="16" t="s">
        <v>306</v>
      </c>
      <c r="B130" s="20">
        <v>14618</v>
      </c>
      <c r="C130" s="77" t="str">
        <f>VLOOKUP(B130,IF(A130="COMPOSICAO",S!$A:$D,I!$A:$D),2,FALSE)</f>
        <v>SERRA CIRCULAR DE BANCADA COM MOTOR ELETRICO, POTENCIA DE *1600* W, PARA DISCO DE DIAMETRO DE 10" (250 MM)</v>
      </c>
      <c r="D130" s="77"/>
      <c r="E130" s="77"/>
      <c r="F130" s="77"/>
      <c r="G130" s="16" t="str">
        <f>VLOOKUP(B130,IF(A130="COMPOSICAO",S!$A:$D,I!$A:$D),3,FALSE)</f>
        <v>UN</v>
      </c>
      <c r="H130" s="31">
        <v>1.4399999999999999E-5</v>
      </c>
      <c r="I130" s="17">
        <f>IF(A130="COMPOSICAO",VLOOKUP("TOTAL - "&amp;B130,COMPOSICAO_AUX_5!$A:$J,10,FALSE),VLOOKUP(B130,I!$A:$D,4,FALSE))</f>
        <v>1385.85</v>
      </c>
      <c r="J130" s="80">
        <f>TRUNC(H130*I130,2)</f>
        <v>0.01</v>
      </c>
      <c r="K130" s="81"/>
    </row>
    <row r="131" spans="1:13" ht="15" customHeight="1" x14ac:dyDescent="0.25">
      <c r="A131" s="23" t="s">
        <v>836</v>
      </c>
      <c r="B131" s="24"/>
      <c r="C131" s="24"/>
      <c r="D131" s="24"/>
      <c r="E131" s="24"/>
      <c r="F131" s="24"/>
      <c r="G131" s="25"/>
      <c r="H131" s="26"/>
      <c r="I131" s="27"/>
      <c r="J131" s="80">
        <f>SUM(J129:K130)</f>
        <v>0.01</v>
      </c>
      <c r="K131" s="81"/>
    </row>
    <row r="132" spans="1:13" ht="15" customHeight="1" x14ac:dyDescent="0.25">
      <c r="A132" s="3"/>
      <c r="B132" s="3"/>
      <c r="C132" s="3"/>
      <c r="D132" s="3"/>
      <c r="E132" s="3"/>
      <c r="F132" s="3"/>
      <c r="G132" s="3"/>
      <c r="H132" s="3"/>
      <c r="I132" s="3"/>
      <c r="J132" s="3"/>
      <c r="K132" s="3"/>
    </row>
    <row r="133" spans="1:13" ht="15" customHeight="1" x14ac:dyDescent="0.25">
      <c r="A133" s="10" t="s">
        <v>295</v>
      </c>
      <c r="B133" s="10" t="s">
        <v>31</v>
      </c>
      <c r="C133" s="82" t="s">
        <v>7</v>
      </c>
      <c r="D133" s="83"/>
      <c r="E133" s="83"/>
      <c r="F133" s="83"/>
      <c r="G133" s="6" t="s">
        <v>32</v>
      </c>
      <c r="H133" s="6" t="s">
        <v>296</v>
      </c>
      <c r="I133" s="6" t="s">
        <v>297</v>
      </c>
      <c r="J133" s="57" t="s">
        <v>9</v>
      </c>
      <c r="K133" s="58"/>
    </row>
    <row r="134" spans="1:13" ht="45" customHeight="1" x14ac:dyDescent="0.25">
      <c r="A134" s="6" t="s">
        <v>572</v>
      </c>
      <c r="B134" s="28">
        <v>91690</v>
      </c>
      <c r="C134" s="91" t="str">
        <f>VLOOKUP(B134,S!$A:$D,2,FALSE)</f>
        <v>SERRA CIRCULAR DE BANCADA COM MOTOR ELÉTRICO POTÊNCIA DE 5HP, COM COIFA PARA DISCO 10" - MANUTENÇÃO. AF_08/2015</v>
      </c>
      <c r="D134" s="91"/>
      <c r="E134" s="91"/>
      <c r="F134" s="92"/>
      <c r="G134" s="6" t="str">
        <f>VLOOKUP(B134,S!$A:$D,3,FALSE)</f>
        <v>H</v>
      </c>
      <c r="H134" s="21"/>
      <c r="I134" s="21">
        <f>J136</f>
        <v>0.06</v>
      </c>
      <c r="J134" s="76"/>
      <c r="K134" s="72"/>
      <c r="L134" s="21">
        <f>VLOOKUP(B134,S!$A:$D,4,FALSE)</f>
        <v>0.06</v>
      </c>
      <c r="M134" s="6" t="str">
        <f>IF(ROUND((L134-I134),2)=0,"OK, confere com a tabela.",IF(ROUND((L134-I134),2)&lt;0,"ACIMA ("&amp;TEXT(ROUND(I134*100/L134,4),"0,0000")&amp;" %) da tabela.","ABAIXO ("&amp;TEXT(ROUND(I134*100/L134,4),"0,0000")&amp;" %) da tabela."))</f>
        <v>OK, confere com a tabela.</v>
      </c>
    </row>
    <row r="135" spans="1:13" ht="45" customHeight="1" x14ac:dyDescent="0.25">
      <c r="A135" s="16" t="s">
        <v>306</v>
      </c>
      <c r="B135" s="20">
        <v>14618</v>
      </c>
      <c r="C135" s="77" t="str">
        <f>VLOOKUP(B135,IF(A135="COMPOSICAO",S!$A:$D,I!$A:$D),2,FALSE)</f>
        <v>SERRA CIRCULAR DE BANCADA COM MOTOR ELETRICO, POTENCIA DE *1600* W, PARA DISCO DE DIAMETRO DE 10" (250 MM)</v>
      </c>
      <c r="D135" s="77"/>
      <c r="E135" s="77"/>
      <c r="F135" s="77"/>
      <c r="G135" s="16" t="str">
        <f>VLOOKUP(B135,IF(A135="COMPOSICAO",S!$A:$D,I!$A:$D),3,FALSE)</f>
        <v>UN</v>
      </c>
      <c r="H135" s="33">
        <v>5.0000000000000002E-5</v>
      </c>
      <c r="I135" s="17">
        <f>IF(A135="COMPOSICAO",VLOOKUP("TOTAL - "&amp;B135,COMPOSICAO_AUX_5!$A:$J,10,FALSE),VLOOKUP(B135,I!$A:$D,4,FALSE))</f>
        <v>1385.85</v>
      </c>
      <c r="J135" s="80">
        <f>TRUNC(H135*I135,2)</f>
        <v>0.06</v>
      </c>
      <c r="K135" s="81"/>
    </row>
    <row r="136" spans="1:13" ht="15" customHeight="1" x14ac:dyDescent="0.25">
      <c r="A136" s="23" t="s">
        <v>837</v>
      </c>
      <c r="B136" s="24"/>
      <c r="C136" s="24"/>
      <c r="D136" s="24"/>
      <c r="E136" s="24"/>
      <c r="F136" s="24"/>
      <c r="G136" s="25"/>
      <c r="H136" s="26"/>
      <c r="I136" s="27"/>
      <c r="J136" s="80">
        <f>SUM(J134:K135)</f>
        <v>0.06</v>
      </c>
      <c r="K136" s="81"/>
    </row>
    <row r="137" spans="1:13" ht="15" customHeight="1" x14ac:dyDescent="0.25">
      <c r="A137" s="3"/>
      <c r="B137" s="3"/>
      <c r="C137" s="3"/>
      <c r="D137" s="3"/>
      <c r="E137" s="3"/>
      <c r="F137" s="3"/>
      <c r="G137" s="3"/>
      <c r="H137" s="3"/>
      <c r="I137" s="3"/>
      <c r="J137" s="3"/>
      <c r="K137" s="3"/>
    </row>
    <row r="138" spans="1:13" ht="15" customHeight="1" x14ac:dyDescent="0.25">
      <c r="A138" s="10" t="s">
        <v>295</v>
      </c>
      <c r="B138" s="10" t="s">
        <v>31</v>
      </c>
      <c r="C138" s="82" t="s">
        <v>7</v>
      </c>
      <c r="D138" s="83"/>
      <c r="E138" s="83"/>
      <c r="F138" s="83"/>
      <c r="G138" s="6" t="s">
        <v>32</v>
      </c>
      <c r="H138" s="6" t="s">
        <v>296</v>
      </c>
      <c r="I138" s="6" t="s">
        <v>297</v>
      </c>
      <c r="J138" s="57" t="s">
        <v>9</v>
      </c>
      <c r="K138" s="58"/>
    </row>
    <row r="139" spans="1:13" ht="45" customHeight="1" x14ac:dyDescent="0.25">
      <c r="A139" s="6" t="s">
        <v>572</v>
      </c>
      <c r="B139" s="28">
        <v>91691</v>
      </c>
      <c r="C139" s="91" t="str">
        <f>VLOOKUP(B139,S!$A:$D,2,FALSE)</f>
        <v>SERRA CIRCULAR DE BANCADA COM MOTOR ELÉTRICO POTÊNCIA DE 5HP, COM COIFA PARA DISCO 10" - MATERIAIS NA OPERAÇÃO. AF_08/2015</v>
      </c>
      <c r="D139" s="91"/>
      <c r="E139" s="91"/>
      <c r="F139" s="92"/>
      <c r="G139" s="6" t="str">
        <f>VLOOKUP(B139,S!$A:$D,3,FALSE)</f>
        <v>H</v>
      </c>
      <c r="H139" s="21"/>
      <c r="I139" s="21">
        <f>J141</f>
        <v>2.4</v>
      </c>
      <c r="J139" s="76"/>
      <c r="K139" s="72"/>
      <c r="L139" s="21">
        <f>VLOOKUP(B139,S!$A:$D,4,FALSE)</f>
        <v>2.4</v>
      </c>
      <c r="M139" s="6" t="str">
        <f>IF(ROUND((L139-I139),2)=0,"OK, confere com a tabela.",IF(ROUND((L139-I139),2)&lt;0,"ACIMA ("&amp;TEXT(ROUND(I139*100/L139,4),"0,0000")&amp;" %) da tabela.","ABAIXO ("&amp;TEXT(ROUND(I139*100/L139,4),"0,0000")&amp;" %) da tabela."))</f>
        <v>OK, confere com a tabela.</v>
      </c>
    </row>
    <row r="140" spans="1:13" ht="30" customHeight="1" x14ac:dyDescent="0.25">
      <c r="A140" s="16" t="s">
        <v>306</v>
      </c>
      <c r="B140" s="20">
        <v>2705</v>
      </c>
      <c r="C140" s="77" t="str">
        <f>VLOOKUP(B140,IF(A140="COMPOSICAO",S!$A:$D,I!$A:$D),2,FALSE)</f>
        <v>ENERGIA ELETRICA ATE 2000 KWH INDUSTRIAL, SEM DEMANDA</v>
      </c>
      <c r="D140" s="77"/>
      <c r="E140" s="77"/>
      <c r="F140" s="77"/>
      <c r="G140" s="16" t="str">
        <f>VLOOKUP(B140,IF(A140="COMPOSICAO",S!$A:$D,I!$A:$D),3,FALSE)</f>
        <v>KW/H</v>
      </c>
      <c r="H140" s="17">
        <v>3.17</v>
      </c>
      <c r="I140" s="17">
        <f>IF(A140="COMPOSICAO",VLOOKUP("TOTAL - "&amp;B140,COMPOSICAO_AUX_5!$A:$J,10,FALSE),VLOOKUP(B140,I!$A:$D,4,FALSE))</f>
        <v>0.76</v>
      </c>
      <c r="J140" s="80">
        <f>TRUNC(H140*I140,2)</f>
        <v>2.4</v>
      </c>
      <c r="K140" s="81"/>
    </row>
    <row r="141" spans="1:13" ht="15" customHeight="1" x14ac:dyDescent="0.25">
      <c r="A141" s="23" t="s">
        <v>838</v>
      </c>
      <c r="B141" s="24"/>
      <c r="C141" s="24"/>
      <c r="D141" s="24"/>
      <c r="E141" s="24"/>
      <c r="F141" s="24"/>
      <c r="G141" s="25"/>
      <c r="H141" s="26"/>
      <c r="I141" s="27"/>
      <c r="J141" s="80">
        <f>SUM(J139:K140)</f>
        <v>2.4</v>
      </c>
      <c r="K141" s="81"/>
    </row>
    <row r="142" spans="1:13" ht="15" customHeight="1" x14ac:dyDescent="0.25">
      <c r="A142" s="3"/>
      <c r="B142" s="3"/>
      <c r="C142" s="3"/>
      <c r="D142" s="3"/>
      <c r="E142" s="3"/>
      <c r="F142" s="3"/>
      <c r="G142" s="3"/>
      <c r="H142" s="3"/>
      <c r="I142" s="3"/>
      <c r="J142" s="3"/>
      <c r="K142" s="3"/>
    </row>
    <row r="143" spans="1:13" ht="15" customHeight="1" x14ac:dyDescent="0.25">
      <c r="A143" s="10" t="s">
        <v>295</v>
      </c>
      <c r="B143" s="10" t="s">
        <v>31</v>
      </c>
      <c r="C143" s="82" t="s">
        <v>7</v>
      </c>
      <c r="D143" s="83"/>
      <c r="E143" s="83"/>
      <c r="F143" s="83"/>
      <c r="G143" s="6" t="s">
        <v>32</v>
      </c>
      <c r="H143" s="6" t="s">
        <v>296</v>
      </c>
      <c r="I143" s="6" t="s">
        <v>297</v>
      </c>
      <c r="J143" s="57" t="s">
        <v>9</v>
      </c>
      <c r="K143" s="58"/>
    </row>
    <row r="144" spans="1:13" ht="30" customHeight="1" x14ac:dyDescent="0.25">
      <c r="A144" s="6" t="s">
        <v>502</v>
      </c>
      <c r="B144" s="28">
        <v>95308</v>
      </c>
      <c r="C144" s="91" t="str">
        <f>VLOOKUP(B144,S!$A:$D,2,FALSE)</f>
        <v>CURSO DE CAPACITAÇÃO PARA AJUDANTE DE ARMADOR (ENCARGOS COMPLEMENTARES) - HORISTA</v>
      </c>
      <c r="D144" s="91"/>
      <c r="E144" s="91"/>
      <c r="F144" s="92"/>
      <c r="G144" s="6" t="str">
        <f>VLOOKUP(B144,S!$A:$D,3,FALSE)</f>
        <v>H</v>
      </c>
      <c r="H144" s="21"/>
      <c r="I144" s="21">
        <f>J146</f>
        <v>0.08</v>
      </c>
      <c r="J144" s="76"/>
      <c r="K144" s="72"/>
      <c r="L144" s="21">
        <f>VLOOKUP(B144,S!$A:$D,4,FALSE)</f>
        <v>0.08</v>
      </c>
      <c r="M144" s="6" t="str">
        <f>IF(ROUND((L144-I144),2)=0,"OK, confere com a tabela.",IF(ROUND((L144-I144),2)&lt;0,"ACIMA ("&amp;TEXT(ROUND(I144*100/L144,4),"0,0000")&amp;" %) da tabela.","ABAIXO ("&amp;TEXT(ROUND(I144*100/L144,4),"0,0000")&amp;" %) da tabela."))</f>
        <v>OK, confere com a tabela.</v>
      </c>
    </row>
    <row r="145" spans="1:13" ht="15" customHeight="1" x14ac:dyDescent="0.25">
      <c r="A145" s="16" t="s">
        <v>306</v>
      </c>
      <c r="B145" s="20">
        <v>6114</v>
      </c>
      <c r="C145" s="77" t="str">
        <f>VLOOKUP(B145,IF(A145="COMPOSICAO",S!$A:$D,I!$A:$D),2,FALSE)</f>
        <v>AJUDANTE DE ARMADOR</v>
      </c>
      <c r="D145" s="77"/>
      <c r="E145" s="77"/>
      <c r="F145" s="77"/>
      <c r="G145" s="16" t="str">
        <f>VLOOKUP(B145,IF(A145="COMPOSICAO",S!$A:$D,I!$A:$D),3,FALSE)</f>
        <v>H</v>
      </c>
      <c r="H145" s="29">
        <v>8.2000000000000007E-3</v>
      </c>
      <c r="I145" s="17">
        <f>IF(A145="COMPOSICAO",VLOOKUP("TOTAL - "&amp;B145,COMPOSICAO_AUX_5!$A:$J,10,FALSE),VLOOKUP(B145,I!$A:$D,4,FALSE))</f>
        <v>10.41</v>
      </c>
      <c r="J145" s="80">
        <f>TRUNC(H145*I145,2)</f>
        <v>0.08</v>
      </c>
      <c r="K145" s="81"/>
    </row>
    <row r="146" spans="1:13" ht="15" customHeight="1" x14ac:dyDescent="0.25">
      <c r="A146" s="23" t="s">
        <v>829</v>
      </c>
      <c r="B146" s="24"/>
      <c r="C146" s="24"/>
      <c r="D146" s="24"/>
      <c r="E146" s="24"/>
      <c r="F146" s="24"/>
      <c r="G146" s="25"/>
      <c r="H146" s="26"/>
      <c r="I146" s="27"/>
      <c r="J146" s="80">
        <f>SUM(J144:K145)</f>
        <v>0.08</v>
      </c>
      <c r="K146" s="81"/>
    </row>
    <row r="147" spans="1:13" ht="15" customHeight="1" x14ac:dyDescent="0.25">
      <c r="A147" s="3"/>
      <c r="B147" s="3"/>
      <c r="C147" s="3"/>
      <c r="D147" s="3"/>
      <c r="E147" s="3"/>
      <c r="F147" s="3"/>
      <c r="G147" s="3"/>
      <c r="H147" s="3"/>
      <c r="I147" s="3"/>
      <c r="J147" s="3"/>
      <c r="K147" s="3"/>
    </row>
    <row r="148" spans="1:13" ht="15" customHeight="1" x14ac:dyDescent="0.25">
      <c r="A148" s="10" t="s">
        <v>295</v>
      </c>
      <c r="B148" s="10" t="s">
        <v>31</v>
      </c>
      <c r="C148" s="82" t="s">
        <v>7</v>
      </c>
      <c r="D148" s="83"/>
      <c r="E148" s="83"/>
      <c r="F148" s="83"/>
      <c r="G148" s="6" t="s">
        <v>32</v>
      </c>
      <c r="H148" s="6" t="s">
        <v>296</v>
      </c>
      <c r="I148" s="6" t="s">
        <v>297</v>
      </c>
      <c r="J148" s="57" t="s">
        <v>9</v>
      </c>
      <c r="K148" s="58"/>
    </row>
    <row r="149" spans="1:13" ht="30" customHeight="1" x14ac:dyDescent="0.25">
      <c r="A149" s="6" t="s">
        <v>502</v>
      </c>
      <c r="B149" s="28">
        <v>95314</v>
      </c>
      <c r="C149" s="91" t="str">
        <f>VLOOKUP(B149,S!$A:$D,2,FALSE)</f>
        <v>CURSO DE CAPACITAÇÃO PARA ARMADOR (ENCARGOS COMPLEMENTARES) - HORISTA</v>
      </c>
      <c r="D149" s="91"/>
      <c r="E149" s="91"/>
      <c r="F149" s="92"/>
      <c r="G149" s="6" t="str">
        <f>VLOOKUP(B149,S!$A:$D,3,FALSE)</f>
        <v>H</v>
      </c>
      <c r="H149" s="21"/>
      <c r="I149" s="21">
        <f>J151</f>
        <v>0.12</v>
      </c>
      <c r="J149" s="76"/>
      <c r="K149" s="72"/>
      <c r="L149" s="21">
        <f>VLOOKUP(B149,S!$A:$D,4,FALSE)</f>
        <v>0.12</v>
      </c>
      <c r="M149" s="6" t="str">
        <f>IF(ROUND((L149-I149),2)=0,"OK, confere com a tabela.",IF(ROUND((L149-I149),2)&lt;0,"ACIMA ("&amp;TEXT(ROUND(I149*100/L149,4),"0,0000")&amp;" %) da tabela.","ABAIXO ("&amp;TEXT(ROUND(I149*100/L149,4),"0,0000")&amp;" %) da tabela."))</f>
        <v>OK, confere com a tabela.</v>
      </c>
    </row>
    <row r="150" spans="1:13" ht="15" customHeight="1" x14ac:dyDescent="0.25">
      <c r="A150" s="16" t="s">
        <v>306</v>
      </c>
      <c r="B150" s="20">
        <v>378</v>
      </c>
      <c r="C150" s="77" t="str">
        <f>VLOOKUP(B150,IF(A150="COMPOSICAO",S!$A:$D,I!$A:$D),2,FALSE)</f>
        <v>ARMADOR</v>
      </c>
      <c r="D150" s="77"/>
      <c r="E150" s="77"/>
      <c r="F150" s="77"/>
      <c r="G150" s="16" t="str">
        <f>VLOOKUP(B150,IF(A150="COMPOSICAO",S!$A:$D,I!$A:$D),3,FALSE)</f>
        <v>H</v>
      </c>
      <c r="H150" s="29">
        <v>8.2000000000000007E-3</v>
      </c>
      <c r="I150" s="17">
        <f>IF(A150="COMPOSICAO",VLOOKUP("TOTAL - "&amp;B150,COMPOSICAO_AUX_5!$A:$J,10,FALSE),VLOOKUP(B150,I!$A:$D,4,FALSE))</f>
        <v>14.93</v>
      </c>
      <c r="J150" s="80">
        <f>TRUNC(H150*I150,2)</f>
        <v>0.12</v>
      </c>
      <c r="K150" s="81"/>
    </row>
    <row r="151" spans="1:13" ht="15" customHeight="1" x14ac:dyDescent="0.25">
      <c r="A151" s="23" t="s">
        <v>830</v>
      </c>
      <c r="B151" s="24"/>
      <c r="C151" s="24"/>
      <c r="D151" s="24"/>
      <c r="E151" s="24"/>
      <c r="F151" s="24"/>
      <c r="G151" s="25"/>
      <c r="H151" s="26"/>
      <c r="I151" s="27"/>
      <c r="J151" s="80">
        <f>SUM(J149:K150)</f>
        <v>0.12</v>
      </c>
      <c r="K151" s="81"/>
    </row>
    <row r="152" spans="1:13" ht="15" customHeight="1" x14ac:dyDescent="0.25">
      <c r="A152" s="3"/>
      <c r="B152" s="3"/>
      <c r="C152" s="3"/>
      <c r="D152" s="3"/>
      <c r="E152" s="3"/>
      <c r="F152" s="3"/>
      <c r="G152" s="3"/>
      <c r="H152" s="3"/>
      <c r="I152" s="3"/>
      <c r="J152" s="3"/>
      <c r="K152" s="3"/>
    </row>
    <row r="153" spans="1:13" ht="15" customHeight="1" x14ac:dyDescent="0.25">
      <c r="A153" s="10" t="s">
        <v>295</v>
      </c>
      <c r="B153" s="10" t="s">
        <v>31</v>
      </c>
      <c r="C153" s="82" t="s">
        <v>7</v>
      </c>
      <c r="D153" s="83"/>
      <c r="E153" s="83"/>
      <c r="F153" s="83"/>
      <c r="G153" s="6" t="s">
        <v>32</v>
      </c>
      <c r="H153" s="6" t="s">
        <v>296</v>
      </c>
      <c r="I153" s="6" t="s">
        <v>297</v>
      </c>
      <c r="J153" s="57" t="s">
        <v>9</v>
      </c>
      <c r="K153" s="58"/>
    </row>
    <row r="154" spans="1:13" ht="45" customHeight="1" x14ac:dyDescent="0.25">
      <c r="A154" s="6" t="s">
        <v>502</v>
      </c>
      <c r="B154" s="28">
        <v>95360</v>
      </c>
      <c r="C154" s="91" t="str">
        <f>VLOOKUP(B154,S!$A:$D,2,FALSE)</f>
        <v>CURSO DE CAPACITAÇÃO PARA OPERADOR DE MÁQUINAS E EQUIPAMENTOS (ENCARGOS COMPLEMENTARES) - HORISTA</v>
      </c>
      <c r="D154" s="91"/>
      <c r="E154" s="91"/>
      <c r="F154" s="92"/>
      <c r="G154" s="6" t="str">
        <f>VLOOKUP(B154,S!$A:$D,3,FALSE)</f>
        <v>H</v>
      </c>
      <c r="H154" s="21"/>
      <c r="I154" s="21">
        <f>J156</f>
        <v>0.17</v>
      </c>
      <c r="J154" s="76"/>
      <c r="K154" s="72"/>
      <c r="L154" s="21">
        <f>VLOOKUP(B154,S!$A:$D,4,FALSE)</f>
        <v>0.17</v>
      </c>
      <c r="M154" s="6" t="str">
        <f>IF(ROUND((L154-I154),2)=0,"OK, confere com a tabela.",IF(ROUND((L154-I154),2)&lt;0,"ACIMA ("&amp;TEXT(ROUND(I154*100/L154,4),"0,0000")&amp;" %) da tabela.","ABAIXO ("&amp;TEXT(ROUND(I154*100/L154,4),"0,0000")&amp;" %) da tabela."))</f>
        <v>OK, confere com a tabela.</v>
      </c>
    </row>
    <row r="155" spans="1:13" ht="30" customHeight="1" x14ac:dyDescent="0.25">
      <c r="A155" s="16" t="s">
        <v>306</v>
      </c>
      <c r="B155" s="20">
        <v>4230</v>
      </c>
      <c r="C155" s="77" t="str">
        <f>VLOOKUP(B155,IF(A155="COMPOSICAO",S!$A:$D,I!$A:$D),2,FALSE)</f>
        <v>OPERADOR DE MAQUINAS E TRATORES DIVERSOS (TERRAPLANAGEM)</v>
      </c>
      <c r="D155" s="77"/>
      <c r="E155" s="77"/>
      <c r="F155" s="77"/>
      <c r="G155" s="16" t="str">
        <f>VLOOKUP(B155,IF(A155="COMPOSICAO",S!$A:$D,I!$A:$D),3,FALSE)</f>
        <v>H</v>
      </c>
      <c r="H155" s="29">
        <v>8.2000000000000007E-3</v>
      </c>
      <c r="I155" s="17">
        <f>IF(A155="COMPOSICAO",VLOOKUP("TOTAL - "&amp;B155,COMPOSICAO_AUX_5!$A:$J,10,FALSE),VLOOKUP(B155,I!$A:$D,4,FALSE))</f>
        <v>21.06</v>
      </c>
      <c r="J155" s="80">
        <f>TRUNC(H155*I155,2)</f>
        <v>0.17</v>
      </c>
      <c r="K155" s="81"/>
    </row>
    <row r="156" spans="1:13" ht="15" customHeight="1" x14ac:dyDescent="0.25">
      <c r="A156" s="23" t="s">
        <v>828</v>
      </c>
      <c r="B156" s="24"/>
      <c r="C156" s="24"/>
      <c r="D156" s="24"/>
      <c r="E156" s="24"/>
      <c r="F156" s="24"/>
      <c r="G156" s="25"/>
      <c r="H156" s="26"/>
      <c r="I156" s="27"/>
      <c r="J156" s="80">
        <f>SUM(J154:K155)</f>
        <v>0.17</v>
      </c>
      <c r="K156" s="81"/>
    </row>
    <row r="157" spans="1:13" ht="15" customHeight="1" x14ac:dyDescent="0.25">
      <c r="A157" s="3"/>
      <c r="B157" s="3"/>
      <c r="C157" s="3"/>
      <c r="D157" s="3"/>
      <c r="E157" s="3"/>
      <c r="F157" s="3"/>
      <c r="G157" s="3"/>
      <c r="H157" s="3"/>
      <c r="I157" s="3"/>
      <c r="J157" s="3"/>
      <c r="K157" s="3"/>
    </row>
    <row r="158" spans="1:13" ht="15" customHeight="1" x14ac:dyDescent="0.25">
      <c r="A158" s="10" t="s">
        <v>295</v>
      </c>
      <c r="B158" s="10" t="s">
        <v>31</v>
      </c>
      <c r="C158" s="82" t="s">
        <v>7</v>
      </c>
      <c r="D158" s="83"/>
      <c r="E158" s="83"/>
      <c r="F158" s="83"/>
      <c r="G158" s="6" t="s">
        <v>32</v>
      </c>
      <c r="H158" s="6" t="s">
        <v>296</v>
      </c>
      <c r="I158" s="6" t="s">
        <v>297</v>
      </c>
      <c r="J158" s="57" t="s">
        <v>9</v>
      </c>
      <c r="K158" s="58"/>
    </row>
    <row r="159" spans="1:13" ht="30" customHeight="1" x14ac:dyDescent="0.25">
      <c r="A159" s="6" t="s">
        <v>502</v>
      </c>
      <c r="B159" s="28">
        <v>95359</v>
      </c>
      <c r="C159" s="91" t="str">
        <f>VLOOKUP(B159,S!$A:$D,2,FALSE)</f>
        <v>CURSO DE CAPACITAÇÃO PARA OPERADOR DE GUINDASTE (ENCARGOS COMPLEMENTARES) - HORISTA</v>
      </c>
      <c r="D159" s="91"/>
      <c r="E159" s="91"/>
      <c r="F159" s="92"/>
      <c r="G159" s="6" t="str">
        <f>VLOOKUP(B159,S!$A:$D,3,FALSE)</f>
        <v>H</v>
      </c>
      <c r="H159" s="21"/>
      <c r="I159" s="21">
        <f>J161</f>
        <v>0.22</v>
      </c>
      <c r="J159" s="76"/>
      <c r="K159" s="72"/>
      <c r="L159" s="21">
        <f>VLOOKUP(B159,S!$A:$D,4,FALSE)</f>
        <v>0.22</v>
      </c>
      <c r="M159" s="6" t="str">
        <f>IF(ROUND((L159-I159),2)=0,"OK, confere com a tabela.",IF(ROUND((L159-I159),2)&lt;0,"ACIMA ("&amp;TEXT(ROUND(I159*100/L159,4),"0,0000")&amp;" %) da tabela.","ABAIXO ("&amp;TEXT(ROUND(I159*100/L159,4),"0,0000")&amp;" %) da tabela."))</f>
        <v>OK, confere com a tabela.</v>
      </c>
    </row>
    <row r="160" spans="1:13" ht="15" customHeight="1" x14ac:dyDescent="0.25">
      <c r="A160" s="16" t="s">
        <v>306</v>
      </c>
      <c r="B160" s="20">
        <v>4254</v>
      </c>
      <c r="C160" s="77" t="str">
        <f>VLOOKUP(B160,IF(A160="COMPOSICAO",S!$A:$D,I!$A:$D),2,FALSE)</f>
        <v>OPERADOR DE GUINDASTE</v>
      </c>
      <c r="D160" s="77"/>
      <c r="E160" s="77"/>
      <c r="F160" s="77"/>
      <c r="G160" s="16" t="str">
        <f>VLOOKUP(B160,IF(A160="COMPOSICAO",S!$A:$D,I!$A:$D),3,FALSE)</f>
        <v>H</v>
      </c>
      <c r="H160" s="29">
        <v>1.17E-2</v>
      </c>
      <c r="I160" s="17">
        <f>IF(A160="COMPOSICAO",VLOOKUP("TOTAL - "&amp;B160,COMPOSICAO_AUX_5!$A:$J,10,FALSE),VLOOKUP(B160,I!$A:$D,4,FALSE))</f>
        <v>19.64</v>
      </c>
      <c r="J160" s="80">
        <f>TRUNC(H160*I160,2)</f>
        <v>0.22</v>
      </c>
      <c r="K160" s="81"/>
    </row>
    <row r="161" spans="1:13" ht="15" customHeight="1" x14ac:dyDescent="0.25">
      <c r="A161" s="23" t="s">
        <v>852</v>
      </c>
      <c r="B161" s="24"/>
      <c r="C161" s="24"/>
      <c r="D161" s="24"/>
      <c r="E161" s="24"/>
      <c r="F161" s="24"/>
      <c r="G161" s="25"/>
      <c r="H161" s="26"/>
      <c r="I161" s="27"/>
      <c r="J161" s="80">
        <f>SUM(J159:K160)</f>
        <v>0.22</v>
      </c>
      <c r="K161" s="81"/>
    </row>
    <row r="162" spans="1:13" ht="15" customHeight="1" x14ac:dyDescent="0.25">
      <c r="A162" s="3"/>
      <c r="B162" s="3"/>
      <c r="C162" s="3"/>
      <c r="D162" s="3"/>
      <c r="E162" s="3"/>
      <c r="F162" s="3"/>
      <c r="G162" s="3"/>
      <c r="H162" s="3"/>
      <c r="I162" s="3"/>
      <c r="J162" s="3"/>
      <c r="K162" s="3"/>
    </row>
    <row r="163" spans="1:13" ht="15" customHeight="1" x14ac:dyDescent="0.25">
      <c r="A163" s="10" t="s">
        <v>295</v>
      </c>
      <c r="B163" s="10" t="s">
        <v>31</v>
      </c>
      <c r="C163" s="82" t="s">
        <v>7</v>
      </c>
      <c r="D163" s="83"/>
      <c r="E163" s="83"/>
      <c r="F163" s="83"/>
      <c r="G163" s="6" t="s">
        <v>32</v>
      </c>
      <c r="H163" s="6" t="s">
        <v>296</v>
      </c>
      <c r="I163" s="6" t="s">
        <v>297</v>
      </c>
      <c r="J163" s="57" t="s">
        <v>9</v>
      </c>
      <c r="K163" s="58"/>
    </row>
    <row r="164" spans="1:13" ht="30" customHeight="1" x14ac:dyDescent="0.25">
      <c r="A164" s="6" t="s">
        <v>502</v>
      </c>
      <c r="B164" s="28">
        <v>95378</v>
      </c>
      <c r="C164" s="91" t="str">
        <f>VLOOKUP(B164,S!$A:$D,2,FALSE)</f>
        <v>CURSO DE CAPACITAÇÃO PARA SERVENTE (ENCARGOS COMPLEMENTARES) - HORISTA</v>
      </c>
      <c r="D164" s="91"/>
      <c r="E164" s="91"/>
      <c r="F164" s="92"/>
      <c r="G164" s="6" t="str">
        <f>VLOOKUP(B164,S!$A:$D,3,FALSE)</f>
        <v>H</v>
      </c>
      <c r="H164" s="21"/>
      <c r="I164" s="21">
        <f>J166</f>
        <v>0.16</v>
      </c>
      <c r="J164" s="76"/>
      <c r="K164" s="72"/>
      <c r="L164" s="21">
        <f>VLOOKUP(B164,S!$A:$D,4,FALSE)</f>
        <v>0.16</v>
      </c>
      <c r="M164" s="6" t="str">
        <f>IF(ROUND((L164-I164),2)=0,"OK, confere com a tabela.",IF(ROUND((L164-I164),2)&lt;0,"ACIMA ("&amp;TEXT(ROUND(I164*100/L164,4),"0,0000")&amp;" %) da tabela.","ABAIXO ("&amp;TEXT(ROUND(I164*100/L164,4),"0,0000")&amp;" %) da tabela."))</f>
        <v>OK, confere com a tabela.</v>
      </c>
    </row>
    <row r="165" spans="1:13" ht="15" customHeight="1" x14ac:dyDescent="0.25">
      <c r="A165" s="16" t="s">
        <v>306</v>
      </c>
      <c r="B165" s="20">
        <v>6111</v>
      </c>
      <c r="C165" s="77" t="str">
        <f>VLOOKUP(B165,IF(A165="COMPOSICAO",S!$A:$D,I!$A:$D),2,FALSE)</f>
        <v>SERVENTE DE OBRAS</v>
      </c>
      <c r="D165" s="77"/>
      <c r="E165" s="77"/>
      <c r="F165" s="77"/>
      <c r="G165" s="16" t="str">
        <f>VLOOKUP(B165,IF(A165="COMPOSICAO",S!$A:$D,I!$A:$D),3,FALSE)</f>
        <v>H</v>
      </c>
      <c r="H165" s="29">
        <v>1.5100000000000001E-2</v>
      </c>
      <c r="I165" s="17">
        <f>IF(A165="COMPOSICAO",VLOOKUP("TOTAL - "&amp;B165,COMPOSICAO_AUX_5!$A:$J,10,FALSE),VLOOKUP(B165,I!$A:$D,4,FALSE))</f>
        <v>10.6</v>
      </c>
      <c r="J165" s="80">
        <f>TRUNC(H165*I165,2)</f>
        <v>0.16</v>
      </c>
      <c r="K165" s="81"/>
    </row>
    <row r="166" spans="1:13" ht="15" customHeight="1" x14ac:dyDescent="0.25">
      <c r="A166" s="23" t="s">
        <v>739</v>
      </c>
      <c r="B166" s="24"/>
      <c r="C166" s="24"/>
      <c r="D166" s="24"/>
      <c r="E166" s="24"/>
      <c r="F166" s="24"/>
      <c r="G166" s="25"/>
      <c r="H166" s="26"/>
      <c r="I166" s="27"/>
      <c r="J166" s="80">
        <f>SUM(J164:K165)</f>
        <v>0.16</v>
      </c>
      <c r="K166" s="81"/>
    </row>
    <row r="167" spans="1:13" ht="15" customHeight="1" x14ac:dyDescent="0.25">
      <c r="A167" s="3"/>
      <c r="B167" s="3"/>
      <c r="C167" s="3"/>
      <c r="D167" s="3"/>
      <c r="E167" s="3"/>
      <c r="F167" s="3"/>
      <c r="G167" s="3"/>
      <c r="H167" s="3"/>
      <c r="I167" s="3"/>
      <c r="J167" s="3"/>
      <c r="K167" s="3"/>
    </row>
    <row r="168" spans="1:13" ht="15" customHeight="1" x14ac:dyDescent="0.25">
      <c r="A168" s="10" t="s">
        <v>295</v>
      </c>
      <c r="B168" s="10" t="s">
        <v>31</v>
      </c>
      <c r="C168" s="82" t="s">
        <v>7</v>
      </c>
      <c r="D168" s="83"/>
      <c r="E168" s="83"/>
      <c r="F168" s="83"/>
      <c r="G168" s="6" t="s">
        <v>32</v>
      </c>
      <c r="H168" s="6" t="s">
        <v>296</v>
      </c>
      <c r="I168" s="6" t="s">
        <v>297</v>
      </c>
      <c r="J168" s="57" t="s">
        <v>9</v>
      </c>
      <c r="K168" s="58"/>
    </row>
    <row r="169" spans="1:13" ht="45" customHeight="1" x14ac:dyDescent="0.25">
      <c r="A169" s="6" t="s">
        <v>502</v>
      </c>
      <c r="B169" s="28">
        <v>95389</v>
      </c>
      <c r="C169" s="91" t="str">
        <f>VLOOKUP(B169,S!$A:$D,2,FALSE)</f>
        <v>CURSO DE CAPACITAÇÃO PARA OPERADOR DE BETONEIRA ESTACIONÁRIA/MISTURADOR (ENCARGOS COMPLEMENTARES) - HORISTA</v>
      </c>
      <c r="D169" s="91"/>
      <c r="E169" s="91"/>
      <c r="F169" s="92"/>
      <c r="G169" s="6" t="str">
        <f>VLOOKUP(B169,S!$A:$D,3,FALSE)</f>
        <v>H</v>
      </c>
      <c r="H169" s="21"/>
      <c r="I169" s="21">
        <f>J171</f>
        <v>0.09</v>
      </c>
      <c r="J169" s="76"/>
      <c r="K169" s="72"/>
      <c r="L169" s="21">
        <f>VLOOKUP(B169,S!$A:$D,4,FALSE)</f>
        <v>0.09</v>
      </c>
      <c r="M169" s="6" t="str">
        <f>IF(ROUND((L169-I169),2)=0,"OK, confere com a tabela.",IF(ROUND((L169-I169),2)&lt;0,"ACIMA ("&amp;TEXT(ROUND(I169*100/L169,4),"0,0000")&amp;" %) da tabela.","ABAIXO ("&amp;TEXT(ROUND(I169*100/L169,4),"0,0000")&amp;" %) da tabela."))</f>
        <v>OK, confere com a tabela.</v>
      </c>
    </row>
    <row r="170" spans="1:13" ht="30" customHeight="1" x14ac:dyDescent="0.25">
      <c r="A170" s="16" t="s">
        <v>306</v>
      </c>
      <c r="B170" s="20">
        <v>37666</v>
      </c>
      <c r="C170" s="77" t="str">
        <f>VLOOKUP(B170,IF(A170="COMPOSICAO",S!$A:$D,I!$A:$D),2,FALSE)</f>
        <v>OPERADOR DE BETONEIRA ESTACIONARIA / MISTURADOR</v>
      </c>
      <c r="D170" s="77"/>
      <c r="E170" s="77"/>
      <c r="F170" s="77"/>
      <c r="G170" s="16" t="str">
        <f>VLOOKUP(B170,IF(A170="COMPOSICAO",S!$A:$D,I!$A:$D),3,FALSE)</f>
        <v>H</v>
      </c>
      <c r="H170" s="29">
        <v>5.8999999999999999E-3</v>
      </c>
      <c r="I170" s="17">
        <f>IF(A170="COMPOSICAO",VLOOKUP("TOTAL - "&amp;B170,COMPOSICAO_AUX_5!$A:$J,10,FALSE),VLOOKUP(B170,I!$A:$D,4,FALSE))</f>
        <v>15.91</v>
      </c>
      <c r="J170" s="80">
        <f>TRUNC(H170*I170,2)</f>
        <v>0.09</v>
      </c>
      <c r="K170" s="81"/>
    </row>
    <row r="171" spans="1:13" ht="15" customHeight="1" x14ac:dyDescent="0.25">
      <c r="A171" s="23" t="s">
        <v>819</v>
      </c>
      <c r="B171" s="24"/>
      <c r="C171" s="24"/>
      <c r="D171" s="24"/>
      <c r="E171" s="24"/>
      <c r="F171" s="24"/>
      <c r="G171" s="25"/>
      <c r="H171" s="26"/>
      <c r="I171" s="27"/>
      <c r="J171" s="80">
        <f>SUM(J169:K170)</f>
        <v>0.09</v>
      </c>
      <c r="K171" s="81"/>
    </row>
    <row r="172" spans="1:13" ht="15" customHeight="1" x14ac:dyDescent="0.25">
      <c r="A172" s="3"/>
      <c r="B172" s="3"/>
      <c r="C172" s="3"/>
      <c r="D172" s="3"/>
      <c r="E172" s="3"/>
      <c r="F172" s="3"/>
      <c r="G172" s="3"/>
      <c r="H172" s="3"/>
      <c r="I172" s="3"/>
      <c r="J172" s="3"/>
      <c r="K172" s="3"/>
    </row>
    <row r="173" spans="1:13" ht="15" customHeight="1" x14ac:dyDescent="0.25">
      <c r="A173" s="10" t="s">
        <v>295</v>
      </c>
      <c r="B173" s="10" t="s">
        <v>31</v>
      </c>
      <c r="C173" s="82" t="s">
        <v>7</v>
      </c>
      <c r="D173" s="83"/>
      <c r="E173" s="83"/>
      <c r="F173" s="83"/>
      <c r="G173" s="6" t="s">
        <v>32</v>
      </c>
      <c r="H173" s="6" t="s">
        <v>296</v>
      </c>
      <c r="I173" s="6" t="s">
        <v>297</v>
      </c>
      <c r="J173" s="57" t="s">
        <v>9</v>
      </c>
      <c r="K173" s="58"/>
    </row>
    <row r="174" spans="1:13" ht="60" customHeight="1" x14ac:dyDescent="0.25">
      <c r="A174" s="6" t="s">
        <v>572</v>
      </c>
      <c r="B174" s="28">
        <v>88826</v>
      </c>
      <c r="C174" s="91" t="str">
        <f>VLOOKUP(B174,S!$A:$D,2,FALSE)</f>
        <v>BETONEIRA CAPACIDADE NOMINAL DE 400 L, CAPACIDADE DE MISTURA 280 L, MOTOR ELÉTRICO TRIFÁSICO POTÊNCIA DE 2 CV, SEM CARREGADOR - DEPRECIAÇÃO. AF_10/2014</v>
      </c>
      <c r="D174" s="91"/>
      <c r="E174" s="91"/>
      <c r="F174" s="92"/>
      <c r="G174" s="6" t="str">
        <f>VLOOKUP(B174,S!$A:$D,3,FALSE)</f>
        <v>H</v>
      </c>
      <c r="H174" s="21"/>
      <c r="I174" s="21">
        <f>J176</f>
        <v>0.37</v>
      </c>
      <c r="J174" s="76"/>
      <c r="K174" s="72"/>
      <c r="L174" s="21">
        <f>VLOOKUP(B174,S!$A:$D,4,FALSE)</f>
        <v>0.37</v>
      </c>
      <c r="M174" s="6" t="str">
        <f>IF(ROUND((L174-I174),2)=0,"OK, confere com a tabela.",IF(ROUND((L174-I174),2)&lt;0,"ACIMA ("&amp;TEXT(ROUND(I174*100/L174,4),"0,0000")&amp;" %) da tabela.","ABAIXO ("&amp;TEXT(ROUND(I174*100/L174,4),"0,0000")&amp;" %) da tabela."))</f>
        <v>OK, confere com a tabela.</v>
      </c>
    </row>
    <row r="175" spans="1:13" ht="45" customHeight="1" x14ac:dyDescent="0.25">
      <c r="A175" s="16" t="s">
        <v>306</v>
      </c>
      <c r="B175" s="20">
        <v>10535</v>
      </c>
      <c r="C175" s="77" t="str">
        <f>VLOOKUP(B175,IF(A175="COMPOSICAO",S!$A:$D,I!$A:$D),2,FALSE)</f>
        <v>BETONEIRA CAPACIDADE NOMINAL 400 L, CAPACIDADE DE MISTURA  280 L, MOTOR ELETRICO TRIFASICO 220/380 V POTENCIA 2 CV, SEM CARREGADOR</v>
      </c>
      <c r="D175" s="77"/>
      <c r="E175" s="77"/>
      <c r="F175" s="77"/>
      <c r="G175" s="16" t="str">
        <f>VLOOKUP(B175,IF(A175="COMPOSICAO",S!$A:$D,I!$A:$D),3,FALSE)</f>
        <v>UN</v>
      </c>
      <c r="H175" s="32">
        <v>6.3999999999999997E-5</v>
      </c>
      <c r="I175" s="17">
        <f>IF(A175="COMPOSICAO",VLOOKUP("TOTAL - "&amp;B175,COMPOSICAO_AUX_5!$A:$J,10,FALSE),VLOOKUP(B175,I!$A:$D,4,FALSE))</f>
        <v>5800</v>
      </c>
      <c r="J175" s="80">
        <f>TRUNC(H175*I175,2)</f>
        <v>0.37</v>
      </c>
      <c r="K175" s="81"/>
    </row>
    <row r="176" spans="1:13" ht="15" customHeight="1" x14ac:dyDescent="0.25">
      <c r="A176" s="23" t="s">
        <v>820</v>
      </c>
      <c r="B176" s="24"/>
      <c r="C176" s="24"/>
      <c r="D176" s="24"/>
      <c r="E176" s="24"/>
      <c r="F176" s="24"/>
      <c r="G176" s="25"/>
      <c r="H176" s="26"/>
      <c r="I176" s="27"/>
      <c r="J176" s="80">
        <f>SUM(J174:K175)</f>
        <v>0.37</v>
      </c>
      <c r="K176" s="81"/>
    </row>
    <row r="177" spans="1:13" ht="15" customHeight="1" x14ac:dyDescent="0.25">
      <c r="A177" s="3"/>
      <c r="B177" s="3"/>
      <c r="C177" s="3"/>
      <c r="D177" s="3"/>
      <c r="E177" s="3"/>
      <c r="F177" s="3"/>
      <c r="G177" s="3"/>
      <c r="H177" s="3"/>
      <c r="I177" s="3"/>
      <c r="J177" s="3"/>
      <c r="K177" s="3"/>
    </row>
    <row r="178" spans="1:13" ht="15" customHeight="1" x14ac:dyDescent="0.25">
      <c r="A178" s="10" t="s">
        <v>295</v>
      </c>
      <c r="B178" s="10" t="s">
        <v>31</v>
      </c>
      <c r="C178" s="82" t="s">
        <v>7</v>
      </c>
      <c r="D178" s="83"/>
      <c r="E178" s="83"/>
      <c r="F178" s="83"/>
      <c r="G178" s="6" t="s">
        <v>32</v>
      </c>
      <c r="H178" s="6" t="s">
        <v>296</v>
      </c>
      <c r="I178" s="6" t="s">
        <v>297</v>
      </c>
      <c r="J178" s="57" t="s">
        <v>9</v>
      </c>
      <c r="K178" s="58"/>
    </row>
    <row r="179" spans="1:13" ht="60" customHeight="1" x14ac:dyDescent="0.25">
      <c r="A179" s="6" t="s">
        <v>572</v>
      </c>
      <c r="B179" s="28">
        <v>88827</v>
      </c>
      <c r="C179" s="91" t="str">
        <f>VLOOKUP(B179,S!$A:$D,2,FALSE)</f>
        <v>BETONEIRA CAPACIDADE NOMINAL DE 400 L, CAPACIDADE DE MISTURA 280 L, MOTOR ELÉTRICO TRIFÁSICO POTÊNCIA DE 2 CV, SEM CARREGADOR - JUROS. AF_10/2014</v>
      </c>
      <c r="D179" s="91"/>
      <c r="E179" s="91"/>
      <c r="F179" s="92"/>
      <c r="G179" s="6" t="str">
        <f>VLOOKUP(B179,S!$A:$D,3,FALSE)</f>
        <v>H</v>
      </c>
      <c r="H179" s="21"/>
      <c r="I179" s="21">
        <f>J181</f>
        <v>0.04</v>
      </c>
      <c r="J179" s="76"/>
      <c r="K179" s="72"/>
      <c r="L179" s="21">
        <f>VLOOKUP(B179,S!$A:$D,4,FALSE)</f>
        <v>0.04</v>
      </c>
      <c r="M179" s="6" t="str">
        <f>IF(ROUND((L179-I179),2)=0,"OK, confere com a tabela.",IF(ROUND((L179-I179),2)&lt;0,"ACIMA ("&amp;TEXT(ROUND(I179*100/L179,4),"0,0000")&amp;" %) da tabela.","ABAIXO ("&amp;TEXT(ROUND(I179*100/L179,4),"0,0000")&amp;" %) da tabela."))</f>
        <v>OK, confere com a tabela.</v>
      </c>
    </row>
    <row r="180" spans="1:13" ht="45" customHeight="1" x14ac:dyDescent="0.25">
      <c r="A180" s="16" t="s">
        <v>306</v>
      </c>
      <c r="B180" s="20">
        <v>10535</v>
      </c>
      <c r="C180" s="77" t="str">
        <f>VLOOKUP(B180,IF(A180="COMPOSICAO",S!$A:$D,I!$A:$D),2,FALSE)</f>
        <v>BETONEIRA CAPACIDADE NOMINAL 400 L, CAPACIDADE DE MISTURA  280 L, MOTOR ELETRICO TRIFASICO 220/380 V POTENCIA 2 CV, SEM CARREGADOR</v>
      </c>
      <c r="D180" s="77"/>
      <c r="E180" s="77"/>
      <c r="F180" s="77"/>
      <c r="G180" s="16" t="str">
        <f>VLOOKUP(B180,IF(A180="COMPOSICAO",S!$A:$D,I!$A:$D),3,FALSE)</f>
        <v>UN</v>
      </c>
      <c r="H180" s="31">
        <v>7.6000000000000001E-6</v>
      </c>
      <c r="I180" s="17">
        <f>IF(A180="COMPOSICAO",VLOOKUP("TOTAL - "&amp;B180,COMPOSICAO_AUX_5!$A:$J,10,FALSE),VLOOKUP(B180,I!$A:$D,4,FALSE))</f>
        <v>5800</v>
      </c>
      <c r="J180" s="80">
        <f>TRUNC(H180*I180,2)</f>
        <v>0.04</v>
      </c>
      <c r="K180" s="81"/>
    </row>
    <row r="181" spans="1:13" ht="15" customHeight="1" x14ac:dyDescent="0.25">
      <c r="A181" s="23" t="s">
        <v>821</v>
      </c>
      <c r="B181" s="24"/>
      <c r="C181" s="24"/>
      <c r="D181" s="24"/>
      <c r="E181" s="24"/>
      <c r="F181" s="24"/>
      <c r="G181" s="25"/>
      <c r="H181" s="26"/>
      <c r="I181" s="27"/>
      <c r="J181" s="80">
        <f>SUM(J179:K180)</f>
        <v>0.04</v>
      </c>
      <c r="K181" s="81"/>
    </row>
    <row r="182" spans="1:13" ht="15" customHeight="1" x14ac:dyDescent="0.25">
      <c r="A182" s="3"/>
      <c r="B182" s="3"/>
      <c r="C182" s="3"/>
      <c r="D182" s="3"/>
      <c r="E182" s="3"/>
      <c r="F182" s="3"/>
      <c r="G182" s="3"/>
      <c r="H182" s="3"/>
      <c r="I182" s="3"/>
      <c r="J182" s="3"/>
      <c r="K182" s="3"/>
    </row>
    <row r="183" spans="1:13" ht="15" customHeight="1" x14ac:dyDescent="0.25">
      <c r="A183" s="10" t="s">
        <v>295</v>
      </c>
      <c r="B183" s="10" t="s">
        <v>31</v>
      </c>
      <c r="C183" s="82" t="s">
        <v>7</v>
      </c>
      <c r="D183" s="83"/>
      <c r="E183" s="83"/>
      <c r="F183" s="83"/>
      <c r="G183" s="6" t="s">
        <v>32</v>
      </c>
      <c r="H183" s="6" t="s">
        <v>296</v>
      </c>
      <c r="I183" s="6" t="s">
        <v>297</v>
      </c>
      <c r="J183" s="57" t="s">
        <v>9</v>
      </c>
      <c r="K183" s="58"/>
    </row>
    <row r="184" spans="1:13" ht="60" customHeight="1" x14ac:dyDescent="0.25">
      <c r="A184" s="6" t="s">
        <v>572</v>
      </c>
      <c r="B184" s="28">
        <v>88828</v>
      </c>
      <c r="C184" s="91" t="str">
        <f>VLOOKUP(B184,S!$A:$D,2,FALSE)</f>
        <v>BETONEIRA CAPACIDADE NOMINAL DE 400 L, CAPACIDADE DE MISTURA 280 L, MOTOR ELÉTRICO TRIFÁSICO POTÊNCIA DE 2 CV, SEM CARREGADOR - MANUTENÇÃO. AF_10/2014</v>
      </c>
      <c r="D184" s="91"/>
      <c r="E184" s="91"/>
      <c r="F184" s="92"/>
      <c r="G184" s="6" t="str">
        <f>VLOOKUP(B184,S!$A:$D,3,FALSE)</f>
        <v>H</v>
      </c>
      <c r="H184" s="21"/>
      <c r="I184" s="21">
        <f>J186</f>
        <v>0.34</v>
      </c>
      <c r="J184" s="76"/>
      <c r="K184" s="72"/>
      <c r="L184" s="21">
        <f>VLOOKUP(B184,S!$A:$D,4,FALSE)</f>
        <v>0.34</v>
      </c>
      <c r="M184" s="6" t="str">
        <f>IF(ROUND((L184-I184),2)=0,"OK, confere com a tabela.",IF(ROUND((L184-I184),2)&lt;0,"ACIMA ("&amp;TEXT(ROUND(I184*100/L184,4),"0,0000")&amp;" %) da tabela.","ABAIXO ("&amp;TEXT(ROUND(I184*100/L184,4),"0,0000")&amp;" %) da tabela."))</f>
        <v>OK, confere com a tabela.</v>
      </c>
    </row>
    <row r="185" spans="1:13" ht="45" customHeight="1" x14ac:dyDescent="0.25">
      <c r="A185" s="16" t="s">
        <v>306</v>
      </c>
      <c r="B185" s="20">
        <v>10535</v>
      </c>
      <c r="C185" s="77" t="str">
        <f>VLOOKUP(B185,IF(A185="COMPOSICAO",S!$A:$D,I!$A:$D),2,FALSE)</f>
        <v>BETONEIRA CAPACIDADE NOMINAL 400 L, CAPACIDADE DE MISTURA  280 L, MOTOR ELETRICO TRIFASICO 220/380 V POTENCIA 2 CV, SEM CARREGADOR</v>
      </c>
      <c r="D185" s="77"/>
      <c r="E185" s="77"/>
      <c r="F185" s="77"/>
      <c r="G185" s="16" t="str">
        <f>VLOOKUP(B185,IF(A185="COMPOSICAO",S!$A:$D,I!$A:$D),3,FALSE)</f>
        <v>UN</v>
      </c>
      <c r="H185" s="33">
        <v>6.0000000000000002E-5</v>
      </c>
      <c r="I185" s="17">
        <f>IF(A185="COMPOSICAO",VLOOKUP("TOTAL - "&amp;B185,COMPOSICAO_AUX_5!$A:$J,10,FALSE),VLOOKUP(B185,I!$A:$D,4,FALSE))</f>
        <v>5800</v>
      </c>
      <c r="J185" s="80">
        <f>TRUNC(H185*I185,2)</f>
        <v>0.34</v>
      </c>
      <c r="K185" s="81"/>
    </row>
    <row r="186" spans="1:13" ht="15" customHeight="1" x14ac:dyDescent="0.25">
      <c r="A186" s="23" t="s">
        <v>822</v>
      </c>
      <c r="B186" s="24"/>
      <c r="C186" s="24"/>
      <c r="D186" s="24"/>
      <c r="E186" s="24"/>
      <c r="F186" s="24"/>
      <c r="G186" s="25"/>
      <c r="H186" s="26"/>
      <c r="I186" s="27"/>
      <c r="J186" s="80">
        <f>SUM(J184:K185)</f>
        <v>0.34</v>
      </c>
      <c r="K186" s="81"/>
    </row>
    <row r="187" spans="1:13" ht="15" customHeight="1" x14ac:dyDescent="0.25">
      <c r="A187" s="3"/>
      <c r="B187" s="3"/>
      <c r="C187" s="3"/>
      <c r="D187" s="3"/>
      <c r="E187" s="3"/>
      <c r="F187" s="3"/>
      <c r="G187" s="3"/>
      <c r="H187" s="3"/>
      <c r="I187" s="3"/>
      <c r="J187" s="3"/>
      <c r="K187" s="3"/>
    </row>
    <row r="188" spans="1:13" ht="15" customHeight="1" x14ac:dyDescent="0.25">
      <c r="A188" s="10" t="s">
        <v>295</v>
      </c>
      <c r="B188" s="10" t="s">
        <v>31</v>
      </c>
      <c r="C188" s="82" t="s">
        <v>7</v>
      </c>
      <c r="D188" s="83"/>
      <c r="E188" s="83"/>
      <c r="F188" s="83"/>
      <c r="G188" s="6" t="s">
        <v>32</v>
      </c>
      <c r="H188" s="6" t="s">
        <v>296</v>
      </c>
      <c r="I188" s="6" t="s">
        <v>297</v>
      </c>
      <c r="J188" s="57" t="s">
        <v>9</v>
      </c>
      <c r="K188" s="58"/>
    </row>
    <row r="189" spans="1:13" ht="60" customHeight="1" x14ac:dyDescent="0.25">
      <c r="A189" s="6" t="s">
        <v>572</v>
      </c>
      <c r="B189" s="28">
        <v>88829</v>
      </c>
      <c r="C189" s="91" t="str">
        <f>VLOOKUP(B189,S!$A:$D,2,FALSE)</f>
        <v>BETONEIRA CAPACIDADE NOMINAL DE 400 L, CAPACIDADE DE MISTURA 280 L, MOTOR ELÉTRICO TRIFÁSICO POTÊNCIA DE 2 CV, SEM CARREGADOR - MATERIAIS NA OPERAÇÃO. AF_10/2014</v>
      </c>
      <c r="D189" s="91"/>
      <c r="E189" s="91"/>
      <c r="F189" s="92"/>
      <c r="G189" s="6" t="str">
        <f>VLOOKUP(B189,S!$A:$D,3,FALSE)</f>
        <v>H</v>
      </c>
      <c r="H189" s="21"/>
      <c r="I189" s="21">
        <f>J191</f>
        <v>0.95</v>
      </c>
      <c r="J189" s="76"/>
      <c r="K189" s="72"/>
      <c r="L189" s="21">
        <f>VLOOKUP(B189,S!$A:$D,4,FALSE)</f>
        <v>0.95</v>
      </c>
      <c r="M189" s="6" t="str">
        <f>IF(ROUND((L189-I189),2)=0,"OK, confere com a tabela.",IF(ROUND((L189-I189),2)&lt;0,"ACIMA ("&amp;TEXT(ROUND(I189*100/L189,4),"0,0000")&amp;" %) da tabela.","ABAIXO ("&amp;TEXT(ROUND(I189*100/L189,4),"0,0000")&amp;" %) da tabela."))</f>
        <v>OK, confere com a tabela.</v>
      </c>
    </row>
    <row r="190" spans="1:13" ht="30" customHeight="1" x14ac:dyDescent="0.25">
      <c r="A190" s="16" t="s">
        <v>306</v>
      </c>
      <c r="B190" s="20">
        <v>2705</v>
      </c>
      <c r="C190" s="77" t="str">
        <f>VLOOKUP(B190,IF(A190="COMPOSICAO",S!$A:$D,I!$A:$D),2,FALSE)</f>
        <v>ENERGIA ELETRICA ATE 2000 KWH INDUSTRIAL, SEM DEMANDA</v>
      </c>
      <c r="D190" s="77"/>
      <c r="E190" s="77"/>
      <c r="F190" s="77"/>
      <c r="G190" s="16" t="str">
        <f>VLOOKUP(B190,IF(A190="COMPOSICAO",S!$A:$D,I!$A:$D),3,FALSE)</f>
        <v>KW/H</v>
      </c>
      <c r="H190" s="17">
        <v>1.25</v>
      </c>
      <c r="I190" s="17">
        <f>IF(A190="COMPOSICAO",VLOOKUP("TOTAL - "&amp;B190,COMPOSICAO_AUX_5!$A:$J,10,FALSE),VLOOKUP(B190,I!$A:$D,4,FALSE))</f>
        <v>0.76</v>
      </c>
      <c r="J190" s="80">
        <f>TRUNC(H190*I190,2)</f>
        <v>0.95</v>
      </c>
      <c r="K190" s="81"/>
    </row>
    <row r="191" spans="1:13" ht="15" customHeight="1" x14ac:dyDescent="0.25">
      <c r="A191" s="23" t="s">
        <v>823</v>
      </c>
      <c r="B191" s="24"/>
      <c r="C191" s="24"/>
      <c r="D191" s="24"/>
      <c r="E191" s="24"/>
      <c r="F191" s="24"/>
      <c r="G191" s="25"/>
      <c r="H191" s="26"/>
      <c r="I191" s="27"/>
      <c r="J191" s="80">
        <f>SUM(J189:K190)</f>
        <v>0.95</v>
      </c>
      <c r="K191" s="81"/>
    </row>
    <row r="192" spans="1:13" ht="15" customHeight="1" x14ac:dyDescent="0.25">
      <c r="A192" s="3"/>
      <c r="B192" s="3"/>
      <c r="C192" s="3"/>
      <c r="D192" s="3"/>
      <c r="E192" s="3"/>
      <c r="F192" s="3"/>
      <c r="G192" s="3"/>
      <c r="H192" s="3"/>
      <c r="I192" s="3"/>
      <c r="J192" s="3"/>
      <c r="K192" s="3"/>
    </row>
  </sheetData>
  <sheetProtection formatCells="0" formatColumns="0" formatRows="0" insertColumns="0" insertRows="0" insertHyperlinks="0" deleteColumns="0" deleteRows="0" sort="0" autoFilter="0" pivotTables="0"/>
  <mergeCells count="314">
    <mergeCell ref="A1:K1"/>
    <mergeCell ref="A2:K2"/>
    <mergeCell ref="A3:K3"/>
    <mergeCell ref="C6:F6"/>
    <mergeCell ref="J6:K6"/>
    <mergeCell ref="C7:F7"/>
    <mergeCell ref="J7:K7"/>
    <mergeCell ref="C11:F11"/>
    <mergeCell ref="J11:K11"/>
    <mergeCell ref="C12:F12"/>
    <mergeCell ref="J12:K12"/>
    <mergeCell ref="C13:F13"/>
    <mergeCell ref="J13:K13"/>
    <mergeCell ref="C8:F8"/>
    <mergeCell ref="J8:K8"/>
    <mergeCell ref="C9:F9"/>
    <mergeCell ref="J9:K9"/>
    <mergeCell ref="C10:F10"/>
    <mergeCell ref="J10:K10"/>
    <mergeCell ref="C17:F17"/>
    <mergeCell ref="J17:K17"/>
    <mergeCell ref="C18:F18"/>
    <mergeCell ref="J18:K18"/>
    <mergeCell ref="C19:F19"/>
    <mergeCell ref="J19:K19"/>
    <mergeCell ref="C14:F14"/>
    <mergeCell ref="J14:K14"/>
    <mergeCell ref="C15:F15"/>
    <mergeCell ref="J15:K15"/>
    <mergeCell ref="C16:F16"/>
    <mergeCell ref="J16:K16"/>
    <mergeCell ref="C23:F23"/>
    <mergeCell ref="J23:K23"/>
    <mergeCell ref="C24:F24"/>
    <mergeCell ref="J24:K24"/>
    <mergeCell ref="C25:F25"/>
    <mergeCell ref="J25:K25"/>
    <mergeCell ref="C20:F20"/>
    <mergeCell ref="J20:K20"/>
    <mergeCell ref="C21:F21"/>
    <mergeCell ref="J21:K21"/>
    <mergeCell ref="C22:F22"/>
    <mergeCell ref="J22:K22"/>
    <mergeCell ref="C31:F31"/>
    <mergeCell ref="J31:K31"/>
    <mergeCell ref="C32:F32"/>
    <mergeCell ref="J32:K32"/>
    <mergeCell ref="C33:F33"/>
    <mergeCell ref="J33:K33"/>
    <mergeCell ref="J26:K26"/>
    <mergeCell ref="C28:F28"/>
    <mergeCell ref="J28:K28"/>
    <mergeCell ref="C29:F29"/>
    <mergeCell ref="J29:K29"/>
    <mergeCell ref="C30:F30"/>
    <mergeCell ref="J30:K30"/>
    <mergeCell ref="C37:F37"/>
    <mergeCell ref="J37:K37"/>
    <mergeCell ref="C38:F38"/>
    <mergeCell ref="J38:K38"/>
    <mergeCell ref="C39:F39"/>
    <mergeCell ref="J39:K39"/>
    <mergeCell ref="C34:F34"/>
    <mergeCell ref="J34:K34"/>
    <mergeCell ref="C35:F35"/>
    <mergeCell ref="J35:K35"/>
    <mergeCell ref="C36:F36"/>
    <mergeCell ref="J36:K36"/>
    <mergeCell ref="C43:F43"/>
    <mergeCell ref="J43:K43"/>
    <mergeCell ref="C44:F44"/>
    <mergeCell ref="J44:K44"/>
    <mergeCell ref="C45:F45"/>
    <mergeCell ref="J45:K45"/>
    <mergeCell ref="C40:F40"/>
    <mergeCell ref="J40:K40"/>
    <mergeCell ref="C41:F41"/>
    <mergeCell ref="J41:K41"/>
    <mergeCell ref="C42:F42"/>
    <mergeCell ref="J42:K42"/>
    <mergeCell ref="C49:F49"/>
    <mergeCell ref="J49:K49"/>
    <mergeCell ref="C50:F50"/>
    <mergeCell ref="J50:K50"/>
    <mergeCell ref="C51:F51"/>
    <mergeCell ref="J51:K51"/>
    <mergeCell ref="C46:F46"/>
    <mergeCell ref="J46:K46"/>
    <mergeCell ref="C47:F47"/>
    <mergeCell ref="J47:K47"/>
    <mergeCell ref="C48:F48"/>
    <mergeCell ref="J48:K48"/>
    <mergeCell ref="J55:K55"/>
    <mergeCell ref="C57:F57"/>
    <mergeCell ref="J57:K57"/>
    <mergeCell ref="C58:F58"/>
    <mergeCell ref="J58:K58"/>
    <mergeCell ref="C59:F59"/>
    <mergeCell ref="J59:K59"/>
    <mergeCell ref="C52:F52"/>
    <mergeCell ref="J52:K52"/>
    <mergeCell ref="C53:F53"/>
    <mergeCell ref="J53:K53"/>
    <mergeCell ref="C54:F54"/>
    <mergeCell ref="J54:K54"/>
    <mergeCell ref="C63:F63"/>
    <mergeCell ref="J63:K63"/>
    <mergeCell ref="C64:F64"/>
    <mergeCell ref="J64:K64"/>
    <mergeCell ref="C65:F65"/>
    <mergeCell ref="J65:K65"/>
    <mergeCell ref="C60:F60"/>
    <mergeCell ref="J60:K60"/>
    <mergeCell ref="C61:F61"/>
    <mergeCell ref="J61:K61"/>
    <mergeCell ref="C62:F62"/>
    <mergeCell ref="J62:K62"/>
    <mergeCell ref="C69:F69"/>
    <mergeCell ref="J69:K69"/>
    <mergeCell ref="C70:F70"/>
    <mergeCell ref="J70:K70"/>
    <mergeCell ref="C71:F71"/>
    <mergeCell ref="J71:K71"/>
    <mergeCell ref="C66:F66"/>
    <mergeCell ref="J66:K66"/>
    <mergeCell ref="C67:F67"/>
    <mergeCell ref="J67:K67"/>
    <mergeCell ref="C68:F68"/>
    <mergeCell ref="J68:K68"/>
    <mergeCell ref="C75:F75"/>
    <mergeCell ref="J75:K75"/>
    <mergeCell ref="C76:F76"/>
    <mergeCell ref="J76:K76"/>
    <mergeCell ref="C77:F77"/>
    <mergeCell ref="J77:K77"/>
    <mergeCell ref="C72:F72"/>
    <mergeCell ref="J72:K72"/>
    <mergeCell ref="C73:F73"/>
    <mergeCell ref="J73:K73"/>
    <mergeCell ref="C74:F74"/>
    <mergeCell ref="J74:K74"/>
    <mergeCell ref="C83:F83"/>
    <mergeCell ref="J83:K83"/>
    <mergeCell ref="C84:F84"/>
    <mergeCell ref="J84:K84"/>
    <mergeCell ref="C85:F85"/>
    <mergeCell ref="J85:K85"/>
    <mergeCell ref="C78:F78"/>
    <mergeCell ref="J78:K78"/>
    <mergeCell ref="J79:K79"/>
    <mergeCell ref="C81:F81"/>
    <mergeCell ref="J81:K81"/>
    <mergeCell ref="C82:F82"/>
    <mergeCell ref="J82:K82"/>
    <mergeCell ref="C89:F89"/>
    <mergeCell ref="J89:K89"/>
    <mergeCell ref="C90:F90"/>
    <mergeCell ref="J90:K90"/>
    <mergeCell ref="C91:F91"/>
    <mergeCell ref="J91:K91"/>
    <mergeCell ref="C86:F86"/>
    <mergeCell ref="J86:K86"/>
    <mergeCell ref="C87:F87"/>
    <mergeCell ref="J87:K87"/>
    <mergeCell ref="C88:F88"/>
    <mergeCell ref="J88:K88"/>
    <mergeCell ref="C95:F95"/>
    <mergeCell ref="J95:K95"/>
    <mergeCell ref="C96:F96"/>
    <mergeCell ref="J96:K96"/>
    <mergeCell ref="C97:F97"/>
    <mergeCell ref="J97:K97"/>
    <mergeCell ref="C92:F92"/>
    <mergeCell ref="J92:K92"/>
    <mergeCell ref="C93:F93"/>
    <mergeCell ref="J93:K93"/>
    <mergeCell ref="C94:F94"/>
    <mergeCell ref="J94:K94"/>
    <mergeCell ref="C103:F103"/>
    <mergeCell ref="J103:K103"/>
    <mergeCell ref="J104:K104"/>
    <mergeCell ref="C106:F106"/>
    <mergeCell ref="J106:K106"/>
    <mergeCell ref="C107:F107"/>
    <mergeCell ref="J107:K107"/>
    <mergeCell ref="C98:F98"/>
    <mergeCell ref="J98:K98"/>
    <mergeCell ref="J99:K99"/>
    <mergeCell ref="C101:F101"/>
    <mergeCell ref="J101:K101"/>
    <mergeCell ref="C102:F102"/>
    <mergeCell ref="J102:K102"/>
    <mergeCell ref="C113:F113"/>
    <mergeCell ref="J113:K113"/>
    <mergeCell ref="C114:F114"/>
    <mergeCell ref="J114:K114"/>
    <mergeCell ref="C115:F115"/>
    <mergeCell ref="J115:K115"/>
    <mergeCell ref="C108:F108"/>
    <mergeCell ref="J108:K108"/>
    <mergeCell ref="J109:K109"/>
    <mergeCell ref="C111:F111"/>
    <mergeCell ref="J111:K111"/>
    <mergeCell ref="C112:F112"/>
    <mergeCell ref="J112:K112"/>
    <mergeCell ref="C119:F119"/>
    <mergeCell ref="J119:K119"/>
    <mergeCell ref="C120:F120"/>
    <mergeCell ref="J120:K120"/>
    <mergeCell ref="J121:K121"/>
    <mergeCell ref="C123:F123"/>
    <mergeCell ref="J123:K123"/>
    <mergeCell ref="C116:F116"/>
    <mergeCell ref="J116:K116"/>
    <mergeCell ref="C117:F117"/>
    <mergeCell ref="J117:K117"/>
    <mergeCell ref="C118:F118"/>
    <mergeCell ref="J118:K118"/>
    <mergeCell ref="C129:F129"/>
    <mergeCell ref="J129:K129"/>
    <mergeCell ref="C130:F130"/>
    <mergeCell ref="J130:K130"/>
    <mergeCell ref="J131:K131"/>
    <mergeCell ref="C133:F133"/>
    <mergeCell ref="J133:K133"/>
    <mergeCell ref="C124:F124"/>
    <mergeCell ref="J124:K124"/>
    <mergeCell ref="C125:F125"/>
    <mergeCell ref="J125:K125"/>
    <mergeCell ref="J126:K126"/>
    <mergeCell ref="C128:F128"/>
    <mergeCell ref="J128:K128"/>
    <mergeCell ref="C139:F139"/>
    <mergeCell ref="J139:K139"/>
    <mergeCell ref="C140:F140"/>
    <mergeCell ref="J140:K140"/>
    <mergeCell ref="J141:K141"/>
    <mergeCell ref="C143:F143"/>
    <mergeCell ref="J143:K143"/>
    <mergeCell ref="C134:F134"/>
    <mergeCell ref="J134:K134"/>
    <mergeCell ref="C135:F135"/>
    <mergeCell ref="J135:K135"/>
    <mergeCell ref="J136:K136"/>
    <mergeCell ref="C138:F138"/>
    <mergeCell ref="J138:K138"/>
    <mergeCell ref="C149:F149"/>
    <mergeCell ref="J149:K149"/>
    <mergeCell ref="C150:F150"/>
    <mergeCell ref="J150:K150"/>
    <mergeCell ref="J151:K151"/>
    <mergeCell ref="C153:F153"/>
    <mergeCell ref="J153:K153"/>
    <mergeCell ref="C144:F144"/>
    <mergeCell ref="J144:K144"/>
    <mergeCell ref="C145:F145"/>
    <mergeCell ref="J145:K145"/>
    <mergeCell ref="J146:K146"/>
    <mergeCell ref="C148:F148"/>
    <mergeCell ref="J148:K148"/>
    <mergeCell ref="C159:F159"/>
    <mergeCell ref="J159:K159"/>
    <mergeCell ref="C160:F160"/>
    <mergeCell ref="J160:K160"/>
    <mergeCell ref="J161:K161"/>
    <mergeCell ref="C163:F163"/>
    <mergeCell ref="J163:K163"/>
    <mergeCell ref="C154:F154"/>
    <mergeCell ref="J154:K154"/>
    <mergeCell ref="C155:F155"/>
    <mergeCell ref="J155:K155"/>
    <mergeCell ref="J156:K156"/>
    <mergeCell ref="C158:F158"/>
    <mergeCell ref="J158:K158"/>
    <mergeCell ref="C169:F169"/>
    <mergeCell ref="J169:K169"/>
    <mergeCell ref="C170:F170"/>
    <mergeCell ref="J170:K170"/>
    <mergeCell ref="J171:K171"/>
    <mergeCell ref="C173:F173"/>
    <mergeCell ref="J173:K173"/>
    <mergeCell ref="C164:F164"/>
    <mergeCell ref="J164:K164"/>
    <mergeCell ref="C165:F165"/>
    <mergeCell ref="J165:K165"/>
    <mergeCell ref="J166:K166"/>
    <mergeCell ref="C168:F168"/>
    <mergeCell ref="J168:K168"/>
    <mergeCell ref="C179:F179"/>
    <mergeCell ref="J179:K179"/>
    <mergeCell ref="C180:F180"/>
    <mergeCell ref="J180:K180"/>
    <mergeCell ref="J181:K181"/>
    <mergeCell ref="C183:F183"/>
    <mergeCell ref="J183:K183"/>
    <mergeCell ref="C174:F174"/>
    <mergeCell ref="J174:K174"/>
    <mergeCell ref="C175:F175"/>
    <mergeCell ref="J175:K175"/>
    <mergeCell ref="J176:K176"/>
    <mergeCell ref="C178:F178"/>
    <mergeCell ref="J178:K178"/>
    <mergeCell ref="C189:F189"/>
    <mergeCell ref="J189:K189"/>
    <mergeCell ref="C190:F190"/>
    <mergeCell ref="J190:K190"/>
    <mergeCell ref="J191:K191"/>
    <mergeCell ref="C184:F184"/>
    <mergeCell ref="J184:K184"/>
    <mergeCell ref="C185:F185"/>
    <mergeCell ref="J185:K185"/>
    <mergeCell ref="J186:K186"/>
    <mergeCell ref="C188:F188"/>
    <mergeCell ref="J188:K188"/>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election activeCell="I9" sqref="I9"/>
    </sheetView>
  </sheetViews>
  <sheetFormatPr defaultRowHeight="15" customHeight="1" x14ac:dyDescent="0.25"/>
  <cols>
    <col min="1" max="1" width="14.7109375" style="1" customWidth="1"/>
    <col min="2" max="2" width="12.7109375" style="1" customWidth="1"/>
    <col min="3" max="3" width="4.7109375" style="1" customWidth="1"/>
    <col min="4" max="4" width="8.7109375" style="1" customWidth="1"/>
    <col min="5" max="5" width="25.7109375" style="1" customWidth="1"/>
    <col min="6" max="6" width="12.7109375" style="1" customWidth="1"/>
    <col min="7" max="7" width="8.7109375" style="1" customWidth="1"/>
    <col min="8" max="9" width="16.7109375" style="1" customWidth="1"/>
    <col min="10" max="11" width="8.7109375" style="1" customWidth="1"/>
    <col min="12" max="12" width="16.7109375" style="1" customWidth="1"/>
    <col min="13" max="13" width="27.5703125" style="1" customWidth="1"/>
    <col min="14" max="16384" width="9.140625" style="1"/>
  </cols>
  <sheetData>
    <row r="1" spans="1:13" ht="15" customHeight="1" x14ac:dyDescent="0.25">
      <c r="A1" s="52" t="str">
        <f>CIDADE</f>
        <v>MUNICÍPIO DE PICOS - PI</v>
      </c>
      <c r="B1" s="52"/>
      <c r="C1" s="52"/>
      <c r="D1" s="52"/>
      <c r="E1" s="52"/>
      <c r="F1" s="52"/>
      <c r="G1" s="52"/>
      <c r="H1" s="52"/>
      <c r="I1" s="52"/>
      <c r="J1" s="52"/>
      <c r="K1" s="52"/>
    </row>
    <row r="2" spans="1:13" ht="15" customHeight="1" x14ac:dyDescent="0.25">
      <c r="A2" s="52" t="str">
        <f>OBRA</f>
        <v>AMPLIAÇÃO ANTIGO PRÉDIO IAPEP PICOS</v>
      </c>
      <c r="B2" s="52"/>
      <c r="C2" s="52"/>
      <c r="D2" s="52"/>
      <c r="E2" s="52"/>
      <c r="F2" s="52"/>
      <c r="G2" s="52"/>
      <c r="H2" s="52"/>
      <c r="I2" s="52"/>
      <c r="J2" s="52"/>
      <c r="K2" s="52"/>
    </row>
    <row r="3" spans="1:13" ht="15" customHeight="1" x14ac:dyDescent="0.25">
      <c r="A3" s="52" t="s">
        <v>853</v>
      </c>
      <c r="B3" s="52"/>
      <c r="C3" s="52"/>
      <c r="D3" s="52"/>
      <c r="E3" s="52"/>
      <c r="F3" s="52"/>
      <c r="G3" s="52"/>
      <c r="H3" s="52"/>
      <c r="I3" s="52"/>
      <c r="J3" s="52"/>
      <c r="K3" s="52"/>
    </row>
    <row r="4" spans="1:13" ht="15" customHeight="1" x14ac:dyDescent="0.25">
      <c r="A4" s="3"/>
      <c r="B4" s="3"/>
      <c r="C4" s="3"/>
      <c r="D4" s="3"/>
      <c r="E4" s="3"/>
      <c r="F4" s="3"/>
      <c r="G4" s="3"/>
      <c r="H4" s="3"/>
      <c r="I4" s="3"/>
      <c r="J4" s="3"/>
      <c r="K4" s="3"/>
    </row>
    <row r="5" spans="1:13" ht="15" customHeight="1" x14ac:dyDescent="0.25">
      <c r="A5" s="2" t="s">
        <v>3</v>
      </c>
      <c r="B5" s="4" t="str">
        <f>FONTE&amp;ONERA</f>
        <v>SINAPI PI-06/2021, SEINFRA 27, ORSE-06/2021, SEM DESONERAÇÃO</v>
      </c>
      <c r="C5" s="2"/>
      <c r="D5" s="2"/>
      <c r="E5" s="2"/>
      <c r="G5" s="3"/>
      <c r="H5" s="2" t="s">
        <v>5</v>
      </c>
      <c r="I5" s="5">
        <f>LEI</f>
        <v>112.14999999999999</v>
      </c>
      <c r="J5" s="2" t="s">
        <v>6</v>
      </c>
      <c r="K5" s="5">
        <f>BDI</f>
        <v>20.8</v>
      </c>
    </row>
    <row r="6" spans="1:13" ht="15" customHeight="1" x14ac:dyDescent="0.25">
      <c r="A6" s="10" t="s">
        <v>295</v>
      </c>
      <c r="B6" s="10" t="s">
        <v>31</v>
      </c>
      <c r="C6" s="82" t="s">
        <v>7</v>
      </c>
      <c r="D6" s="83"/>
      <c r="E6" s="83"/>
      <c r="F6" s="83"/>
      <c r="G6" s="6" t="s">
        <v>32</v>
      </c>
      <c r="H6" s="6" t="s">
        <v>296</v>
      </c>
      <c r="I6" s="6" t="s">
        <v>297</v>
      </c>
      <c r="J6" s="57" t="s">
        <v>9</v>
      </c>
      <c r="K6" s="58"/>
    </row>
    <row r="7" spans="1:13" ht="45" customHeight="1" x14ac:dyDescent="0.25">
      <c r="A7" s="6" t="s">
        <v>502</v>
      </c>
      <c r="B7" s="28">
        <v>95360</v>
      </c>
      <c r="C7" s="91" t="str">
        <f>VLOOKUP(B7,S!$A:$D,2,FALSE)</f>
        <v>CURSO DE CAPACITAÇÃO PARA OPERADOR DE MÁQUINAS E EQUIPAMENTOS (ENCARGOS COMPLEMENTARES) - HORISTA</v>
      </c>
      <c r="D7" s="91"/>
      <c r="E7" s="91"/>
      <c r="F7" s="92"/>
      <c r="G7" s="6" t="str">
        <f>VLOOKUP(B7,S!$A:$D,3,FALSE)</f>
        <v>H</v>
      </c>
      <c r="H7" s="21"/>
      <c r="I7" s="21">
        <f>J9</f>
        <v>0.17</v>
      </c>
      <c r="J7" s="76"/>
      <c r="K7" s="72"/>
      <c r="L7" s="21">
        <f>VLOOKUP(B7,S!$A:$D,4,FALSE)</f>
        <v>0.17</v>
      </c>
      <c r="M7" s="6" t="str">
        <f>IF(ROUND((L7-I7),2)=0,"OK, confere com a tabela.",IF(ROUND((L7-I7),2)&lt;0,"ACIMA ("&amp;TEXT(ROUND(I7*100/L7,4),"0,0000")&amp;" %) da tabela.","ABAIXO ("&amp;TEXT(ROUND(I7*100/L7,4),"0,0000")&amp;" %) da tabela."))</f>
        <v>OK, confere com a tabela.</v>
      </c>
    </row>
    <row r="8" spans="1:13" ht="30" customHeight="1" x14ac:dyDescent="0.25">
      <c r="A8" s="16" t="s">
        <v>306</v>
      </c>
      <c r="B8" s="20">
        <v>4230</v>
      </c>
      <c r="C8" s="77" t="str">
        <f>VLOOKUP(B8,IF(A8="COMPOSICAO",S!$A:$D,I!$A:$D),2,FALSE)</f>
        <v>OPERADOR DE MAQUINAS E TRATORES DIVERSOS (TERRAPLANAGEM)</v>
      </c>
      <c r="D8" s="77"/>
      <c r="E8" s="77"/>
      <c r="F8" s="77"/>
      <c r="G8" s="16" t="str">
        <f>VLOOKUP(B8,IF(A8="COMPOSICAO",S!$A:$D,I!$A:$D),3,FALSE)</f>
        <v>H</v>
      </c>
      <c r="H8" s="29">
        <v>8.2000000000000007E-3</v>
      </c>
      <c r="I8" s="17">
        <f>VLOOKUP(B8,I!$A:$D,4,FALSE)</f>
        <v>21.06</v>
      </c>
      <c r="J8" s="80">
        <f>TRUNC(H8*I8,2)</f>
        <v>0.17</v>
      </c>
      <c r="K8" s="81"/>
    </row>
    <row r="9" spans="1:13" ht="15" customHeight="1" x14ac:dyDescent="0.25">
      <c r="A9" s="23" t="s">
        <v>828</v>
      </c>
      <c r="B9" s="24"/>
      <c r="C9" s="24"/>
      <c r="D9" s="24"/>
      <c r="E9" s="24"/>
      <c r="F9" s="24"/>
      <c r="G9" s="25"/>
      <c r="H9" s="26"/>
      <c r="I9" s="27"/>
      <c r="J9" s="80">
        <f>SUM(J7:K8)</f>
        <v>0.17</v>
      </c>
      <c r="K9" s="81"/>
    </row>
    <row r="10" spans="1:13" ht="15" customHeight="1" x14ac:dyDescent="0.25">
      <c r="A10" s="3"/>
      <c r="B10" s="3"/>
      <c r="C10" s="3"/>
      <c r="D10" s="3"/>
      <c r="E10" s="3"/>
      <c r="F10" s="3"/>
      <c r="G10" s="3"/>
      <c r="H10" s="3"/>
      <c r="I10" s="3"/>
      <c r="J10" s="3"/>
      <c r="K10" s="3"/>
    </row>
  </sheetData>
  <sheetProtection formatCells="0" formatColumns="0" formatRows="0" insertColumns="0" insertRows="0" insertHyperlinks="0" deleteColumns="0" deleteRows="0" sort="0" autoFilter="0" pivotTables="0"/>
  <mergeCells count="10">
    <mergeCell ref="C8:F8"/>
    <mergeCell ref="J8:K8"/>
    <mergeCell ref="J9:K9"/>
    <mergeCell ref="A1:K1"/>
    <mergeCell ref="A2:K2"/>
    <mergeCell ref="A3:K3"/>
    <mergeCell ref="C6:F6"/>
    <mergeCell ref="J6:K6"/>
    <mergeCell ref="C7:F7"/>
    <mergeCell ref="J7:K7"/>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view="pageBreakPreview" zoomScale="90" zoomScaleNormal="100" zoomScaleSheetLayoutView="90" workbookViewId="0">
      <selection activeCell="R9" sqref="R9"/>
    </sheetView>
  </sheetViews>
  <sheetFormatPr defaultRowHeight="15" customHeight="1" x14ac:dyDescent="0.25"/>
  <cols>
    <col min="1" max="2" width="12.7109375" style="1" customWidth="1"/>
    <col min="3" max="3" width="4.7109375" style="1" customWidth="1"/>
    <col min="4" max="4" width="8" style="1" customWidth="1"/>
    <col min="5" max="5" width="19" style="1" customWidth="1"/>
    <col min="6" max="6" width="20" style="1" customWidth="1"/>
    <col min="7" max="7" width="8.7109375" style="1" customWidth="1"/>
    <col min="8" max="8" width="16.7109375" style="1" customWidth="1"/>
    <col min="9" max="14" width="8.7109375" style="1" customWidth="1"/>
    <col min="15" max="16384" width="9.140625" style="1"/>
  </cols>
  <sheetData>
    <row r="1" spans="1:14" ht="15" customHeight="1" x14ac:dyDescent="0.25">
      <c r="A1" s="52" t="str">
        <f>CIDADE</f>
        <v>MUNICÍPIO DE PICOS - PI</v>
      </c>
      <c r="B1" s="52"/>
      <c r="C1" s="52"/>
      <c r="D1" s="52"/>
      <c r="E1" s="52"/>
      <c r="F1" s="52"/>
      <c r="G1" s="52"/>
      <c r="H1" s="52"/>
      <c r="I1" s="52"/>
      <c r="J1" s="52"/>
      <c r="K1" s="52"/>
      <c r="L1" s="52"/>
      <c r="M1" s="52"/>
      <c r="N1" s="52"/>
    </row>
    <row r="2" spans="1:14" ht="15" customHeight="1" x14ac:dyDescent="0.25">
      <c r="A2" s="52" t="str">
        <f>OBRA</f>
        <v>AMPLIAÇÃO ANTIGO PRÉDIO IAPEP PICOS</v>
      </c>
      <c r="B2" s="52"/>
      <c r="C2" s="52"/>
      <c r="D2" s="52"/>
      <c r="E2" s="52"/>
      <c r="F2" s="52"/>
      <c r="G2" s="52"/>
      <c r="H2" s="52"/>
      <c r="I2" s="52"/>
      <c r="J2" s="52"/>
      <c r="K2" s="52"/>
      <c r="L2" s="52"/>
      <c r="M2" s="52"/>
      <c r="N2" s="52"/>
    </row>
    <row r="3" spans="1:14" ht="15" customHeight="1" x14ac:dyDescent="0.25">
      <c r="A3" s="52" t="s">
        <v>854</v>
      </c>
      <c r="B3" s="52"/>
      <c r="C3" s="52"/>
      <c r="D3" s="52"/>
      <c r="E3" s="52"/>
      <c r="F3" s="52"/>
      <c r="G3" s="52"/>
      <c r="H3" s="52"/>
      <c r="I3" s="52"/>
      <c r="J3" s="52"/>
      <c r="K3" s="52"/>
      <c r="L3" s="52"/>
      <c r="M3" s="52"/>
      <c r="N3" s="52"/>
    </row>
    <row r="4" spans="1:14" ht="15" customHeight="1" x14ac:dyDescent="0.25">
      <c r="A4" s="3"/>
      <c r="B4" s="3"/>
      <c r="C4" s="3"/>
      <c r="D4" s="3"/>
      <c r="E4" s="3"/>
      <c r="F4" s="3"/>
      <c r="G4" s="3"/>
      <c r="H4" s="3"/>
      <c r="I4" s="3"/>
      <c r="J4" s="3"/>
      <c r="K4" s="3"/>
      <c r="L4" s="3"/>
      <c r="M4" s="3"/>
      <c r="N4" s="3"/>
    </row>
    <row r="5" spans="1:14" ht="15" customHeight="1" x14ac:dyDescent="0.25">
      <c r="A5" s="2" t="s">
        <v>3</v>
      </c>
      <c r="B5" s="4" t="str">
        <f>FONTE&amp;ONERA</f>
        <v>SINAPI PI-06/2021, SEINFRA 27, ORSE-06/2021, SEM DESONERAÇÃO</v>
      </c>
      <c r="C5" s="2"/>
      <c r="D5" s="2"/>
      <c r="E5" s="2"/>
      <c r="F5" s="3"/>
      <c r="G5" s="3"/>
      <c r="H5" s="2" t="s">
        <v>5</v>
      </c>
      <c r="I5" s="5">
        <f>LEI</f>
        <v>112.14999999999999</v>
      </c>
      <c r="J5" s="3"/>
      <c r="K5" s="3"/>
      <c r="L5" s="3"/>
      <c r="M5" s="2" t="s">
        <v>6</v>
      </c>
      <c r="N5" s="5">
        <f>BDI</f>
        <v>20.8</v>
      </c>
    </row>
    <row r="6" spans="1:14" ht="15" customHeight="1" x14ac:dyDescent="0.25">
      <c r="A6" s="10" t="s">
        <v>19</v>
      </c>
      <c r="B6" s="10" t="s">
        <v>31</v>
      </c>
      <c r="C6" s="82" t="s">
        <v>7</v>
      </c>
      <c r="D6" s="83"/>
      <c r="E6" s="83"/>
      <c r="F6" s="83"/>
      <c r="G6" s="6" t="s">
        <v>32</v>
      </c>
      <c r="H6" s="6" t="s">
        <v>33</v>
      </c>
      <c r="I6" s="49" t="s">
        <v>297</v>
      </c>
      <c r="J6" s="51"/>
      <c r="K6" s="49" t="s">
        <v>9</v>
      </c>
      <c r="L6" s="51"/>
      <c r="M6" s="49" t="s">
        <v>20</v>
      </c>
      <c r="N6" s="51"/>
    </row>
    <row r="7" spans="1:14" ht="60" customHeight="1" x14ac:dyDescent="0.25">
      <c r="A7" s="15">
        <v>1</v>
      </c>
      <c r="B7" s="20">
        <v>95952</v>
      </c>
      <c r="C7" s="77" t="str">
        <f>VLOOKUP(B7,ORCAMENTO!B:L,2,FALSE)</f>
        <v>(COMPOSIÇÃO REPRESENTATIVA) EXECUÇÃO DE ESTRUTURAS DE CONCRETO ARMADO CONVENCIONAL, PARA EDIFICAÇÃO HABITACIONAL MULTIFAMILIAR (PRÉDIO), FCK = 25 MPA. AF_01/2017</v>
      </c>
      <c r="D7" s="77"/>
      <c r="E7" s="77"/>
      <c r="F7" s="77"/>
      <c r="G7" s="16" t="str">
        <f>VLOOKUP(B7,ORCAMENTO!B:L,6,FALSE)</f>
        <v>M3</v>
      </c>
      <c r="H7" s="17">
        <f>SUMIF(ORCAMENTO!B:B,ABCS!B7,ORCAMENTO!H:H)</f>
        <v>10.32</v>
      </c>
      <c r="I7" s="78">
        <f>VLOOKUP(B7,ORCAMENTO!B:L,8,FALSE)</f>
        <v>2340.87</v>
      </c>
      <c r="J7" s="79"/>
      <c r="K7" s="78">
        <f>SUMIF(ORCAMENTO!B:B,ABCS!B7,ORCAMENTO!K:K)</f>
        <v>24157.78</v>
      </c>
      <c r="L7" s="79"/>
      <c r="M7" s="78">
        <f t="shared" ref="M7:M38" si="0">ROUND((K7/$K$76)*100,4)</f>
        <v>9.5287000000000006</v>
      </c>
      <c r="N7" s="79"/>
    </row>
    <row r="8" spans="1:14" ht="60" customHeight="1" x14ac:dyDescent="0.25">
      <c r="A8" s="15">
        <v>2</v>
      </c>
      <c r="B8" s="20">
        <v>94992</v>
      </c>
      <c r="C8" s="77" t="str">
        <f>VLOOKUP(B8,ORCAMENTO!B:L,2,FALSE)</f>
        <v>EXECUÇÃO DE PASSEIO (CALÇADA) OU PISO DE CONCRETO COM CONCRETO MOLDADO IN LOCO, FEITO EM OBRA, ACABAMENTO CONVENCIONAL, ESPESSURA 6 CM, ARMADO. AF_07/2016</v>
      </c>
      <c r="D8" s="77"/>
      <c r="E8" s="77"/>
      <c r="F8" s="77"/>
      <c r="G8" s="16" t="str">
        <f>VLOOKUP(B8,ORCAMENTO!B:L,6,FALSE)</f>
        <v>M2</v>
      </c>
      <c r="H8" s="17">
        <f>SUMIF(ORCAMENTO!B:B,ABCS!B8,ORCAMENTO!H:H)</f>
        <v>207.29</v>
      </c>
      <c r="I8" s="78">
        <f>VLOOKUP(B8,ORCAMENTO!B:L,8,FALSE)</f>
        <v>99.36</v>
      </c>
      <c r="J8" s="79"/>
      <c r="K8" s="78">
        <f>SUMIF(ORCAMENTO!B:B,ABCS!B8,ORCAMENTO!K:K)</f>
        <v>20596.330000000002</v>
      </c>
      <c r="L8" s="79"/>
      <c r="M8" s="78">
        <f t="shared" si="0"/>
        <v>8.1239000000000008</v>
      </c>
      <c r="N8" s="79"/>
    </row>
    <row r="9" spans="1:14" ht="75" customHeight="1" x14ac:dyDescent="0.25">
      <c r="A9" s="15">
        <v>3</v>
      </c>
      <c r="B9" s="20">
        <v>87523</v>
      </c>
      <c r="C9" s="77" t="str">
        <f>VLOOKUP(B9,ORCAMENTO!B:L,2,FALSE)</f>
        <v>ALVENARIA DE VEDAÇÃO DE BLOCOS CERÂMICOS FURADOS NA HORIZONTAL DE 9X14X19CM (ESPESSURA 9CM) DE PAREDES COM ÁREA LÍQUIDA MAIOR OU IGUAL A 6M² COM VÃOS E ARGAMASSA DE ASSENTAMENTO COM PREPARO EM BETONEIRA. AF_06/2014</v>
      </c>
      <c r="D9" s="77"/>
      <c r="E9" s="77"/>
      <c r="F9" s="77"/>
      <c r="G9" s="16" t="str">
        <f>VLOOKUP(B9,ORCAMENTO!B:L,6,FALSE)</f>
        <v>M2</v>
      </c>
      <c r="H9" s="17">
        <f>SUMIF(ORCAMENTO!B:B,ABCS!B9,ORCAMENTO!H:H)</f>
        <v>186.06</v>
      </c>
      <c r="I9" s="78">
        <f>VLOOKUP(B9,ORCAMENTO!B:L,8,FALSE)</f>
        <v>97.65</v>
      </c>
      <c r="J9" s="79"/>
      <c r="K9" s="78">
        <f>SUMIF(ORCAMENTO!B:B,ABCS!B9,ORCAMENTO!K:K)</f>
        <v>18168.759999999998</v>
      </c>
      <c r="L9" s="79"/>
      <c r="M9" s="78">
        <f t="shared" si="0"/>
        <v>7.1664000000000003</v>
      </c>
      <c r="N9" s="79"/>
    </row>
    <row r="10" spans="1:14" ht="60" customHeight="1" x14ac:dyDescent="0.25">
      <c r="A10" s="15">
        <v>4</v>
      </c>
      <c r="B10" s="20">
        <v>92550</v>
      </c>
      <c r="C10" s="77" t="str">
        <f>VLOOKUP(B10,ORCAMENTO!B:L,2,FALSE)</f>
        <v>FABRICAÇÃO E INSTALAÇÃO DE TESOURA INTEIRA EM MADEIRA NÃO APARELHADA, VÃO DE 8 M, PARA TELHA CERÂMICA OU DE CONCRETO, INCLUSO IÇAMENTO. AF_07/2019</v>
      </c>
      <c r="D10" s="77"/>
      <c r="E10" s="77"/>
      <c r="F10" s="77"/>
      <c r="G10" s="16" t="str">
        <f>VLOOKUP(B10,ORCAMENTO!B:L,6,FALSE)</f>
        <v>UN</v>
      </c>
      <c r="H10" s="17">
        <f>SUMIF(ORCAMENTO!B:B,ABCS!B10,ORCAMENTO!H:H)</f>
        <v>8</v>
      </c>
      <c r="I10" s="78">
        <f>VLOOKUP(B10,ORCAMENTO!B:L,8,FALSE)</f>
        <v>2031.9899999999998</v>
      </c>
      <c r="J10" s="79"/>
      <c r="K10" s="78">
        <f>SUMIF(ORCAMENTO!B:B,ABCS!B10,ORCAMENTO!K:K)</f>
        <v>16255.92</v>
      </c>
      <c r="L10" s="79"/>
      <c r="M10" s="78">
        <f t="shared" si="0"/>
        <v>6.4119000000000002</v>
      </c>
      <c r="N10" s="79"/>
    </row>
    <row r="11" spans="1:14" ht="75" customHeight="1" x14ac:dyDescent="0.25">
      <c r="A11" s="15">
        <v>5</v>
      </c>
      <c r="B11" s="20">
        <v>87530</v>
      </c>
      <c r="C11" s="77" t="str">
        <f>VLOOKUP(B11,ORCAMENTO!B:L,2,FALSE)</f>
        <v>MASSA ÚNICA, PARA RECEBIMENTO DE PINTURA, EM ARGAMASSA TRAÇO 1:2:8, PREPARO MANUAL, APLICADA MANUALMENTE EM FACES INTERNAS DE PAREDES, ESPESSURA DE 20MM, COM EXECUÇÃO DE TALISCAS. AF_06/2014</v>
      </c>
      <c r="D11" s="77"/>
      <c r="E11" s="77"/>
      <c r="F11" s="77"/>
      <c r="G11" s="16" t="str">
        <f>VLOOKUP(B11,ORCAMENTO!B:L,6,FALSE)</f>
        <v>M2</v>
      </c>
      <c r="H11" s="17">
        <f>SUMIF(ORCAMENTO!B:B,ABCS!B11,ORCAMENTO!H:H)</f>
        <v>372.12</v>
      </c>
      <c r="I11" s="78">
        <f>VLOOKUP(B11,ORCAMENTO!B:L,8,FALSE)</f>
        <v>39.01</v>
      </c>
      <c r="J11" s="79"/>
      <c r="K11" s="78">
        <f>SUMIF(ORCAMENTO!B:B,ABCS!B11,ORCAMENTO!K:K)</f>
        <v>14516.4</v>
      </c>
      <c r="L11" s="79"/>
      <c r="M11" s="78">
        <f t="shared" si="0"/>
        <v>5.7257999999999996</v>
      </c>
      <c r="N11" s="79"/>
    </row>
    <row r="12" spans="1:14" ht="60" customHeight="1" x14ac:dyDescent="0.25">
      <c r="A12" s="15">
        <v>6</v>
      </c>
      <c r="B12" s="20">
        <v>92541</v>
      </c>
      <c r="C12" s="77" t="str">
        <f>VLOOKUP(B12,ORCAMENTO!B:L,2,FALSE)</f>
        <v>TRAMA DE MADEIRA COMPOSTA POR RIPAS, CAIBROS E TERÇAS PARA TELHADOS DE ATÉ 2 ÁGUAS PARA TELHA CERÂMICA CAPA-CANAL, INCLUSO TRANSPORTE VERTICAL. AF_07/2019</v>
      </c>
      <c r="D12" s="77"/>
      <c r="E12" s="77"/>
      <c r="F12" s="77"/>
      <c r="G12" s="16" t="str">
        <f>VLOOKUP(B12,ORCAMENTO!B:L,6,FALSE)</f>
        <v>M2</v>
      </c>
      <c r="H12" s="17">
        <f>SUMIF(ORCAMENTO!B:B,ABCS!B12,ORCAMENTO!H:H)</f>
        <v>176.56</v>
      </c>
      <c r="I12" s="78">
        <f>VLOOKUP(B12,ORCAMENTO!B:L,8,FALSE)</f>
        <v>74.22</v>
      </c>
      <c r="J12" s="79"/>
      <c r="K12" s="78">
        <f>SUMIF(ORCAMENTO!B:B,ABCS!B12,ORCAMENTO!K:K)</f>
        <v>13104.28</v>
      </c>
      <c r="L12" s="79"/>
      <c r="M12" s="78">
        <f t="shared" si="0"/>
        <v>5.1688000000000001</v>
      </c>
      <c r="N12" s="79"/>
    </row>
    <row r="13" spans="1:14" ht="45" customHeight="1" x14ac:dyDescent="0.25">
      <c r="A13" s="15">
        <v>7</v>
      </c>
      <c r="B13" s="20">
        <v>96116</v>
      </c>
      <c r="C13" s="77" t="str">
        <f>VLOOKUP(B13,ORCAMENTO!B:L,2,FALSE)</f>
        <v>FORRO EM RÉGUAS DE PVC, FRISADO, PARA AMBIENTES COMERCIAIS, INCLUSIVE ESTRUTURA DE FIXAÇÃO. AF_05/2017_P</v>
      </c>
      <c r="D13" s="77"/>
      <c r="E13" s="77"/>
      <c r="F13" s="77"/>
      <c r="G13" s="16" t="str">
        <f>VLOOKUP(B13,ORCAMENTO!B:L,6,FALSE)</f>
        <v>M2</v>
      </c>
      <c r="H13" s="17">
        <f>SUMIF(ORCAMENTO!B:B,ABCS!B13,ORCAMENTO!H:H)</f>
        <v>124.97</v>
      </c>
      <c r="I13" s="78">
        <f>VLOOKUP(B13,ORCAMENTO!B:L,8,FALSE)</f>
        <v>94.890000000000015</v>
      </c>
      <c r="J13" s="79"/>
      <c r="K13" s="78">
        <f>SUMIF(ORCAMENTO!B:B,ABCS!B13,ORCAMENTO!K:K)</f>
        <v>11858.4</v>
      </c>
      <c r="L13" s="79"/>
      <c r="M13" s="78">
        <f t="shared" si="0"/>
        <v>4.6773999999999996</v>
      </c>
      <c r="N13" s="79"/>
    </row>
    <row r="14" spans="1:14" ht="15" customHeight="1" x14ac:dyDescent="0.25">
      <c r="A14" s="15">
        <v>8</v>
      </c>
      <c r="B14" s="16" t="s">
        <v>148</v>
      </c>
      <c r="C14" s="77" t="str">
        <f>VLOOKUP(B14,ORCAMENTO!B:L,2,FALSE)</f>
        <v>ALVENARIA DE EMBASAMENTO DE PEDRA ARGAMASSADA</v>
      </c>
      <c r="D14" s="77"/>
      <c r="E14" s="77"/>
      <c r="F14" s="77"/>
      <c r="G14" s="16" t="str">
        <f>VLOOKUP(B14,ORCAMENTO!B:L,6,FALSE)</f>
        <v>M3</v>
      </c>
      <c r="H14" s="17">
        <f>SUMIF(ORCAMENTO!B:B,ABCS!B14,ORCAMENTO!H:H)</f>
        <v>16.55</v>
      </c>
      <c r="I14" s="78">
        <f>VLOOKUP(B14,ORCAMENTO!B:L,8,FALSE)</f>
        <v>502.35</v>
      </c>
      <c r="J14" s="79"/>
      <c r="K14" s="78">
        <f>SUMIF(ORCAMENTO!B:B,ABCS!B14,ORCAMENTO!K:K)</f>
        <v>8313.89</v>
      </c>
      <c r="L14" s="79"/>
      <c r="M14" s="78">
        <f t="shared" si="0"/>
        <v>3.2793000000000001</v>
      </c>
      <c r="N14" s="79"/>
    </row>
    <row r="15" spans="1:14" ht="15" customHeight="1" x14ac:dyDescent="0.25">
      <c r="A15" s="15">
        <v>9</v>
      </c>
      <c r="B15" s="16" t="s">
        <v>113</v>
      </c>
      <c r="C15" s="77" t="str">
        <f>VLOOKUP(B15,ORCAMENTO!B:L,2,FALSE)</f>
        <v>ADMINISTRAÇÃO LOCAL</v>
      </c>
      <c r="D15" s="77"/>
      <c r="E15" s="77"/>
      <c r="F15" s="77"/>
      <c r="G15" s="16" t="str">
        <f>VLOOKUP(B15,ORCAMENTO!B:L,6,FALSE)</f>
        <v>UND</v>
      </c>
      <c r="H15" s="17">
        <f>SUMIF(ORCAMENTO!B:B,ABCS!B15,ORCAMENTO!H:H)</f>
        <v>62</v>
      </c>
      <c r="I15" s="78">
        <f>VLOOKUP(B15,ORCAMENTO!B:L,8,FALSE)</f>
        <v>162.43</v>
      </c>
      <c r="J15" s="79"/>
      <c r="K15" s="78">
        <f>SUMIF(ORCAMENTO!B:B,ABCS!B15,ORCAMENTO!K:K)</f>
        <v>10070.66</v>
      </c>
      <c r="L15" s="79"/>
      <c r="M15" s="78">
        <f t="shared" si="0"/>
        <v>3.9722</v>
      </c>
      <c r="N15" s="79"/>
    </row>
    <row r="16" spans="1:14" ht="45" customHeight="1" x14ac:dyDescent="0.25">
      <c r="A16" s="15">
        <v>10</v>
      </c>
      <c r="B16" s="20">
        <v>94204</v>
      </c>
      <c r="C16" s="77" t="str">
        <f>VLOOKUP(B16,ORCAMENTO!B:L,2,FALSE)</f>
        <v>TELHAMENTO COM TELHA CERÂMICA CAPA-CANAL, TIPO COLONIAL, COM MAIS DE 2 ÁGUAS, INCLUSO TRANSPORTE VERTICAL. AF_07/2019</v>
      </c>
      <c r="D16" s="77"/>
      <c r="E16" s="77"/>
      <c r="F16" s="77"/>
      <c r="G16" s="16" t="str">
        <f>VLOOKUP(B16,ORCAMENTO!B:L,6,FALSE)</f>
        <v>M2</v>
      </c>
      <c r="H16" s="17">
        <f>SUMIF(ORCAMENTO!B:B,ABCS!B16,ORCAMENTO!H:H)</f>
        <v>181.34</v>
      </c>
      <c r="I16" s="78">
        <f>VLOOKUP(B16,ORCAMENTO!B:L,8,FALSE)</f>
        <v>44.02</v>
      </c>
      <c r="J16" s="79"/>
      <c r="K16" s="78">
        <f>SUMIF(ORCAMENTO!B:B,ABCS!B16,ORCAMENTO!K:K)</f>
        <v>7982.59</v>
      </c>
      <c r="L16" s="79"/>
      <c r="M16" s="78">
        <f t="shared" si="0"/>
        <v>3.1486000000000001</v>
      </c>
      <c r="N16" s="79"/>
    </row>
    <row r="17" spans="1:14" ht="90" customHeight="1" x14ac:dyDescent="0.25">
      <c r="A17" s="15">
        <v>11</v>
      </c>
      <c r="B17" s="20">
        <v>89171</v>
      </c>
      <c r="C17" s="77" t="str">
        <f>VLOOKUP(B17,ORCAMENTO!B:L,2,FALSE)</f>
        <v>(COMPOSIÇÃO REPRESENTATIVA) DO SERVIÇO DE REVESTIMENTO CERÂMICO PARA PISO COM PLACAS TIPO ESMALTADA EXTRA DE DIMENSÕES 35X35 CM, PARA EDIFICAÇÃO HABITACIONAL UNIFAMILIAR (CASA) E EDIFICAÇÃO PÚBLICA PADRÃO. AF_11/2014</v>
      </c>
      <c r="D17" s="77"/>
      <c r="E17" s="77"/>
      <c r="F17" s="77"/>
      <c r="G17" s="16" t="str">
        <f>VLOOKUP(B17,ORCAMENTO!B:L,6,FALSE)</f>
        <v>M2</v>
      </c>
      <c r="H17" s="17">
        <f>SUMIF(ORCAMENTO!B:B,ABCS!B17,ORCAMENTO!H:H)</f>
        <v>124.96999999999998</v>
      </c>
      <c r="I17" s="78">
        <f>VLOOKUP(B17,ORCAMENTO!B:L,8,FALSE)</f>
        <v>61.389999999999993</v>
      </c>
      <c r="J17" s="79"/>
      <c r="K17" s="78">
        <f>SUMIF(ORCAMENTO!B:B,ABCS!B17,ORCAMENTO!K:K)</f>
        <v>7671.91</v>
      </c>
      <c r="L17" s="79"/>
      <c r="M17" s="78">
        <f t="shared" si="0"/>
        <v>3.0261</v>
      </c>
      <c r="N17" s="79"/>
    </row>
    <row r="18" spans="1:14" ht="45" customHeight="1" x14ac:dyDescent="0.25">
      <c r="A18" s="15">
        <v>12</v>
      </c>
      <c r="B18" s="16" t="s">
        <v>195</v>
      </c>
      <c r="C18" s="77" t="str">
        <f>VLOOKUP(B18,ORCAMENTO!B:L,2,FALSE)</f>
        <v>DIVISÓRIA EM GRANITO CINZA ANDORINHA POLIDO, E=2CM, INCLUSIVE MONTAGEM COM FERRAGENS - REV 02</v>
      </c>
      <c r="D18" s="77"/>
      <c r="E18" s="77"/>
      <c r="F18" s="77"/>
      <c r="G18" s="16" t="str">
        <f>VLOOKUP(B18,ORCAMENTO!B:L,6,FALSE)</f>
        <v>M2</v>
      </c>
      <c r="H18" s="17">
        <f>SUMIF(ORCAMENTO!B:B,ABCS!B18,ORCAMENTO!H:H)</f>
        <v>13.6</v>
      </c>
      <c r="I18" s="78">
        <f>VLOOKUP(B18,ORCAMENTO!B:L,8,FALSE)</f>
        <v>629.98</v>
      </c>
      <c r="J18" s="79"/>
      <c r="K18" s="78">
        <f>SUMIF(ORCAMENTO!B:B,ABCS!B18,ORCAMENTO!K:K)</f>
        <v>8567.73</v>
      </c>
      <c r="L18" s="79"/>
      <c r="M18" s="78">
        <f t="shared" si="0"/>
        <v>3.3794</v>
      </c>
      <c r="N18" s="79"/>
    </row>
    <row r="19" spans="1:14" ht="15" customHeight="1" x14ac:dyDescent="0.25">
      <c r="A19" s="15">
        <v>13</v>
      </c>
      <c r="B19" s="16" t="s">
        <v>213</v>
      </c>
      <c r="C19" s="77" t="str">
        <f>VLOOKUP(B19,ORCAMENTO!B:L,2,FALSE)</f>
        <v>BASCULANTE DE FERRO</v>
      </c>
      <c r="D19" s="77"/>
      <c r="E19" s="77"/>
      <c r="F19" s="77"/>
      <c r="G19" s="16" t="str">
        <f>VLOOKUP(B19,ORCAMENTO!B:L,6,FALSE)</f>
        <v>M2</v>
      </c>
      <c r="H19" s="17">
        <f>SUMIF(ORCAMENTO!B:B,ABCS!B19,ORCAMENTO!H:H)</f>
        <v>14</v>
      </c>
      <c r="I19" s="78">
        <f>VLOOKUP(B19,ORCAMENTO!B:L,8,FALSE)</f>
        <v>456.39000000000004</v>
      </c>
      <c r="J19" s="79"/>
      <c r="K19" s="78">
        <f>SUMIF(ORCAMENTO!B:B,ABCS!B19,ORCAMENTO!K:K)</f>
        <v>6389.46</v>
      </c>
      <c r="L19" s="79"/>
      <c r="M19" s="78">
        <f t="shared" si="0"/>
        <v>2.5202</v>
      </c>
      <c r="N19" s="79"/>
    </row>
    <row r="20" spans="1:14" ht="30" customHeight="1" x14ac:dyDescent="0.25">
      <c r="A20" s="15">
        <v>14</v>
      </c>
      <c r="B20" s="20">
        <v>98557</v>
      </c>
      <c r="C20" s="77" t="str">
        <f>VLOOKUP(B20,ORCAMENTO!B:L,2,FALSE)</f>
        <v>IMPERMEABILIZAÇÃO DE SUPERFÍCIE COM EMULSÃO ASFÁLTICA, 2 DEMÃOS AF_06/2018</v>
      </c>
      <c r="D20" s="77"/>
      <c r="E20" s="77"/>
      <c r="F20" s="77"/>
      <c r="G20" s="16" t="str">
        <f>VLOOKUP(B20,ORCAMENTO!B:L,6,FALSE)</f>
        <v>M2</v>
      </c>
      <c r="H20" s="17">
        <f>SUMIF(ORCAMENTO!B:B,ABCS!B20,ORCAMENTO!H:H)</f>
        <v>102.33</v>
      </c>
      <c r="I20" s="78">
        <f>VLOOKUP(B20,ORCAMENTO!B:L,8,FALSE)</f>
        <v>48.54</v>
      </c>
      <c r="J20" s="79"/>
      <c r="K20" s="78">
        <f>SUMIF(ORCAMENTO!B:B,ABCS!B20,ORCAMENTO!K:K)</f>
        <v>4967.1000000000004</v>
      </c>
      <c r="L20" s="79"/>
      <c r="M20" s="78">
        <f t="shared" si="0"/>
        <v>1.9592000000000001</v>
      </c>
      <c r="N20" s="79"/>
    </row>
    <row r="21" spans="1:14" ht="45" customHeight="1" x14ac:dyDescent="0.25">
      <c r="A21" s="15">
        <v>15</v>
      </c>
      <c r="B21" s="20">
        <v>88489</v>
      </c>
      <c r="C21" s="77" t="str">
        <f>VLOOKUP(B21,ORCAMENTO!B:L,2,FALSE)</f>
        <v>APLICAÇÃO MANUAL DE PINTURA COM TINTA LÁTEX ACRÍLICA EM PAREDES, DUAS DEMÃOS. AF_06/2014</v>
      </c>
      <c r="D21" s="77"/>
      <c r="E21" s="77"/>
      <c r="F21" s="77"/>
      <c r="G21" s="16" t="str">
        <f>VLOOKUP(B21,ORCAMENTO!B:L,6,FALSE)</f>
        <v>M2</v>
      </c>
      <c r="H21" s="17">
        <f>SUMIF(ORCAMENTO!B:B,ABCS!B21,ORCAMENTO!H:H)</f>
        <v>372.12</v>
      </c>
      <c r="I21" s="78">
        <f>VLOOKUP(B21,ORCAMENTO!B:L,8,FALSE)</f>
        <v>13.110000000000001</v>
      </c>
      <c r="J21" s="79"/>
      <c r="K21" s="78">
        <f>SUMIF(ORCAMENTO!B:B,ABCS!B21,ORCAMENTO!K:K)</f>
        <v>4878.49</v>
      </c>
      <c r="L21" s="79"/>
      <c r="M21" s="78">
        <f t="shared" si="0"/>
        <v>1.9241999999999999</v>
      </c>
      <c r="N21" s="79"/>
    </row>
    <row r="22" spans="1:14" ht="30" customHeight="1" x14ac:dyDescent="0.25">
      <c r="A22" s="15">
        <v>16</v>
      </c>
      <c r="B22" s="20">
        <v>94319</v>
      </c>
      <c r="C22" s="77" t="str">
        <f>VLOOKUP(B22,ORCAMENTO!B:L,2,FALSE)</f>
        <v>ATERRO MANUAL DE VALAS COM SOLO ARGILO-ARENOSO E COMPACTAÇÃO MECANIZADA. AF_05/2016</v>
      </c>
      <c r="D22" s="77"/>
      <c r="E22" s="77"/>
      <c r="F22" s="77"/>
      <c r="G22" s="16" t="str">
        <f>VLOOKUP(B22,ORCAMENTO!B:L,6,FALSE)</f>
        <v>M3</v>
      </c>
      <c r="H22" s="17">
        <f>SUMIF(ORCAMENTO!B:B,ABCS!B22,ORCAMENTO!H:H)</f>
        <v>95.699999999999989</v>
      </c>
      <c r="I22" s="78">
        <f>VLOOKUP(B22,ORCAMENTO!B:L,8,FALSE)</f>
        <v>48.45</v>
      </c>
      <c r="J22" s="79"/>
      <c r="K22" s="78">
        <f>SUMIF(ORCAMENTO!B:B,ABCS!B22,ORCAMENTO!K:K)</f>
        <v>4636.67</v>
      </c>
      <c r="L22" s="79"/>
      <c r="M22" s="78">
        <f t="shared" si="0"/>
        <v>1.8289</v>
      </c>
      <c r="N22" s="79"/>
    </row>
    <row r="23" spans="1:14" ht="15" customHeight="1" x14ac:dyDescent="0.25">
      <c r="A23" s="15">
        <v>17</v>
      </c>
      <c r="B23" s="20">
        <v>85001</v>
      </c>
      <c r="C23" s="77" t="str">
        <f>VLOOKUP(B23,ORCAMENTO!B:L,2,FALSE)</f>
        <v>VIDRO LISO FUME, ESPESSURA 4MM</v>
      </c>
      <c r="D23" s="77"/>
      <c r="E23" s="77"/>
      <c r="F23" s="77"/>
      <c r="G23" s="16" t="str">
        <f>VLOOKUP(B23,ORCAMENTO!B:L,6,FALSE)</f>
        <v>M2</v>
      </c>
      <c r="H23" s="17">
        <f>SUMIF(ORCAMENTO!B:B,ABCS!B23,ORCAMENTO!H:H)</f>
        <v>14</v>
      </c>
      <c r="I23" s="78">
        <f>VLOOKUP(B23,ORCAMENTO!B:L,8,FALSE)</f>
        <v>303.08999999999997</v>
      </c>
      <c r="J23" s="79"/>
      <c r="K23" s="78">
        <f>SUMIF(ORCAMENTO!B:B,ABCS!B23,ORCAMENTO!K:K)</f>
        <v>4243.26</v>
      </c>
      <c r="L23" s="79"/>
      <c r="M23" s="78">
        <f t="shared" si="0"/>
        <v>1.6737</v>
      </c>
      <c r="N23" s="79"/>
    </row>
    <row r="24" spans="1:14" ht="30" customHeight="1" x14ac:dyDescent="0.25">
      <c r="A24" s="15">
        <v>18</v>
      </c>
      <c r="B24" s="20">
        <v>96526</v>
      </c>
      <c r="C24" s="77" t="str">
        <f>VLOOKUP(B24,ORCAMENTO!B:L,2,FALSE)</f>
        <v>ESCAVAÇÃO MANUAL DE VALA PARA VIGA BALDRAME, SEM PREVISÃO DE FÔRMA. AF_06/2017</v>
      </c>
      <c r="D24" s="77"/>
      <c r="E24" s="77"/>
      <c r="F24" s="77"/>
      <c r="G24" s="16" t="str">
        <f>VLOOKUP(B24,ORCAMENTO!B:L,6,FALSE)</f>
        <v>M3</v>
      </c>
      <c r="H24" s="17">
        <f>SUMIF(ORCAMENTO!B:B,ABCS!B24,ORCAMENTO!H:H)</f>
        <v>16.55</v>
      </c>
      <c r="I24" s="78">
        <f>VLOOKUP(B24,ORCAMENTO!B:L,8,FALSE)</f>
        <v>269.67</v>
      </c>
      <c r="J24" s="79"/>
      <c r="K24" s="78">
        <f>SUMIF(ORCAMENTO!B:B,ABCS!B24,ORCAMENTO!K:K)</f>
        <v>4463.04</v>
      </c>
      <c r="L24" s="79"/>
      <c r="M24" s="78">
        <f t="shared" si="0"/>
        <v>1.7604</v>
      </c>
      <c r="N24" s="79"/>
    </row>
    <row r="25" spans="1:14" ht="15" customHeight="1" x14ac:dyDescent="0.25">
      <c r="A25" s="15">
        <v>19</v>
      </c>
      <c r="B25" s="16" t="s">
        <v>205</v>
      </c>
      <c r="C25" s="77" t="str">
        <f>VLOOKUP(B25,ORCAMENTO!B:L,2,FALSE)</f>
        <v>PORTA DE ALUMÍNIO C/VIDRO CRISTAL TEMPERADO</v>
      </c>
      <c r="D25" s="77"/>
      <c r="E25" s="77"/>
      <c r="F25" s="77"/>
      <c r="G25" s="16" t="str">
        <f>VLOOKUP(B25,ORCAMENTO!B:L,6,FALSE)</f>
        <v>M2</v>
      </c>
      <c r="H25" s="17">
        <f>SUMIF(ORCAMENTO!B:B,ABCS!B25,ORCAMENTO!H:H)</f>
        <v>7.4</v>
      </c>
      <c r="I25" s="78">
        <f>VLOOKUP(B25,ORCAMENTO!B:L,8,FALSE)</f>
        <v>470.00000000000006</v>
      </c>
      <c r="J25" s="79"/>
      <c r="K25" s="78">
        <f>SUMIF(ORCAMENTO!B:B,ABCS!B25,ORCAMENTO!K:K)</f>
        <v>3478</v>
      </c>
      <c r="L25" s="79"/>
      <c r="M25" s="78">
        <f t="shared" si="0"/>
        <v>1.3717999999999999</v>
      </c>
      <c r="N25" s="79"/>
    </row>
    <row r="26" spans="1:14" ht="75" customHeight="1" x14ac:dyDescent="0.25">
      <c r="A26" s="15">
        <v>20</v>
      </c>
      <c r="B26" s="16" t="s">
        <v>256</v>
      </c>
      <c r="C26" s="77" t="str">
        <f>VLOOKUP(B26,ORCAMENTO!B:L,2,FALSE)</f>
        <v>LAVATÓRIO COM BANCADA EM GRANITO CINZA ANDORINHA, E = 2CM, DIM 1,50X0,60, COM 02 CUBAS DE EMBUTIR DE LOUÇA, SIFÃO CROMADO, VÁLVULA CROMADA, TORNEIRA CROMADA, INCLUSIVE RODOPIA 10 CM, ASSENTADA</v>
      </c>
      <c r="D26" s="77"/>
      <c r="E26" s="77"/>
      <c r="F26" s="77"/>
      <c r="G26" s="16" t="str">
        <f>VLOOKUP(B26,ORCAMENTO!B:L,6,FALSE)</f>
        <v>UN</v>
      </c>
      <c r="H26" s="17">
        <f>SUMIF(ORCAMENTO!B:B,ABCS!B26,ORCAMENTO!H:H)</f>
        <v>2</v>
      </c>
      <c r="I26" s="78">
        <f>VLOOKUP(B26,ORCAMENTO!B:L,8,FALSE)</f>
        <v>1631.1000000000004</v>
      </c>
      <c r="J26" s="79"/>
      <c r="K26" s="78">
        <f>SUMIF(ORCAMENTO!B:B,ABCS!B26,ORCAMENTO!K:K)</f>
        <v>3262.2</v>
      </c>
      <c r="L26" s="79"/>
      <c r="M26" s="78">
        <f t="shared" si="0"/>
        <v>1.2867</v>
      </c>
      <c r="N26" s="79"/>
    </row>
    <row r="27" spans="1:14" ht="15" customHeight="1" x14ac:dyDescent="0.25">
      <c r="A27" s="15">
        <v>21</v>
      </c>
      <c r="B27" s="16" t="s">
        <v>252</v>
      </c>
      <c r="C27" s="77" t="str">
        <f>VLOOKUP(B27,ORCAMENTO!B:L,2,FALSE)</f>
        <v>FOSSA SÉPTICA E SUMIDOURO EM ANÉIS D=1,20M</v>
      </c>
      <c r="D27" s="77"/>
      <c r="E27" s="77"/>
      <c r="F27" s="77"/>
      <c r="G27" s="16" t="str">
        <f>VLOOKUP(B27,ORCAMENTO!B:L,6,FALSE)</f>
        <v>UN</v>
      </c>
      <c r="H27" s="17">
        <f>SUMIF(ORCAMENTO!B:B,ABCS!B27,ORCAMENTO!H:H)</f>
        <v>1</v>
      </c>
      <c r="I27" s="78">
        <f>VLOOKUP(B27,ORCAMENTO!B:L,8,FALSE)</f>
        <v>3201.5700000000006</v>
      </c>
      <c r="J27" s="79"/>
      <c r="K27" s="78">
        <f>SUMIF(ORCAMENTO!B:B,ABCS!B27,ORCAMENTO!K:K)</f>
        <v>3201.57</v>
      </c>
      <c r="L27" s="79"/>
      <c r="M27" s="78">
        <f t="shared" si="0"/>
        <v>1.2627999999999999</v>
      </c>
      <c r="N27" s="79"/>
    </row>
    <row r="28" spans="1:14" ht="30" customHeight="1" x14ac:dyDescent="0.25">
      <c r="A28" s="15">
        <v>22</v>
      </c>
      <c r="B28" s="16" t="s">
        <v>124</v>
      </c>
      <c r="C28" s="77" t="str">
        <f>VLOOKUP(B28,ORCAMENTO!B:L,2,FALSE)</f>
        <v>SERVIÇOS DE SONDAGEM GEOTÉCNICA MISTA EM SOLOS</v>
      </c>
      <c r="D28" s="77"/>
      <c r="E28" s="77"/>
      <c r="F28" s="77"/>
      <c r="G28" s="16" t="str">
        <f>VLOOKUP(B28,ORCAMENTO!B:L,6,FALSE)</f>
        <v>M</v>
      </c>
      <c r="H28" s="17">
        <f>SUMIF(ORCAMENTO!B:B,ABCS!B28,ORCAMENTO!H:H)</f>
        <v>10</v>
      </c>
      <c r="I28" s="78">
        <f>VLOOKUP(B28,ORCAMENTO!B:L,8,FALSE)</f>
        <v>284.02</v>
      </c>
      <c r="J28" s="79"/>
      <c r="K28" s="78">
        <f>SUMIF(ORCAMENTO!B:B,ABCS!B28,ORCAMENTO!K:K)</f>
        <v>2840.2</v>
      </c>
      <c r="L28" s="79"/>
      <c r="M28" s="78">
        <f t="shared" si="0"/>
        <v>1.1203000000000001</v>
      </c>
      <c r="N28" s="79"/>
    </row>
    <row r="29" spans="1:14" ht="60" customHeight="1" x14ac:dyDescent="0.25">
      <c r="A29" s="15">
        <v>23</v>
      </c>
      <c r="B29" s="20">
        <v>87905</v>
      </c>
      <c r="C29" s="77" t="str">
        <f>VLOOKUP(B29,ORCAMENTO!B:L,2,FALSE)</f>
        <v>CHAPISCO APLICADO EM ALVENARIA (COM PRESENÇA DE VÃOS) E ESTRUTURAS DE CONCRETO DE FACHADA, COM COLHER DE PEDREIRO.  ARGAMASSA TRAÇO 1:3 COM PREPARO EM BETONEIRA 400L. AF_06/2014</v>
      </c>
      <c r="D29" s="77"/>
      <c r="E29" s="77"/>
      <c r="F29" s="77"/>
      <c r="G29" s="16" t="str">
        <f>VLOOKUP(B29,ORCAMENTO!B:L,6,FALSE)</f>
        <v>M2</v>
      </c>
      <c r="H29" s="17">
        <f>SUMIF(ORCAMENTO!B:B,ABCS!B29,ORCAMENTO!H:H)</f>
        <v>372.12</v>
      </c>
      <c r="I29" s="78">
        <f>VLOOKUP(B29,ORCAMENTO!B:L,8,FALSE)</f>
        <v>8.27</v>
      </c>
      <c r="J29" s="79"/>
      <c r="K29" s="78">
        <f>SUMIF(ORCAMENTO!B:B,ABCS!B29,ORCAMENTO!K:K)</f>
        <v>3077.43</v>
      </c>
      <c r="L29" s="79"/>
      <c r="M29" s="78">
        <f t="shared" si="0"/>
        <v>1.2138</v>
      </c>
      <c r="N29" s="79"/>
    </row>
    <row r="30" spans="1:14" ht="90" customHeight="1" x14ac:dyDescent="0.25">
      <c r="A30" s="15">
        <v>24</v>
      </c>
      <c r="B30" s="20">
        <v>87525</v>
      </c>
      <c r="C30" s="77" t="str">
        <f>VLOOKUP(B30,ORCAMENTO!B:L,2,FALSE)</f>
        <v>ALVENARIA DE VEDAÇÃO DE BLOCOS CERÂMICOS FURADOS NA HORIZONTAL DE 14X9X19CM (ESPESSURA 14CM, BLOCO DEITADO) DE PAREDES COM ÁREA LÍQUIDA MAIOR OU IGUAL A 6M² COM VÃOS E ARGAMASSA DE ASSENTAMENTO COM PREPARO EM BETONEIRA. AF_06/2014</v>
      </c>
      <c r="D30" s="77"/>
      <c r="E30" s="77"/>
      <c r="F30" s="77"/>
      <c r="G30" s="16" t="str">
        <f>VLOOKUP(B30,ORCAMENTO!B:L,6,FALSE)</f>
        <v>M2</v>
      </c>
      <c r="H30" s="17">
        <f>SUMIF(ORCAMENTO!B:B,ABCS!B30,ORCAMENTO!H:H)</f>
        <v>19.850000000000001</v>
      </c>
      <c r="I30" s="78">
        <f>VLOOKUP(B30,ORCAMENTO!B:L,8,FALSE)</f>
        <v>150.29</v>
      </c>
      <c r="J30" s="79"/>
      <c r="K30" s="78">
        <f>SUMIF(ORCAMENTO!B:B,ABCS!B30,ORCAMENTO!K:K)</f>
        <v>2983.26</v>
      </c>
      <c r="L30" s="79"/>
      <c r="M30" s="78">
        <f t="shared" si="0"/>
        <v>1.1767000000000001</v>
      </c>
      <c r="N30" s="79"/>
    </row>
    <row r="31" spans="1:14" ht="30" customHeight="1" x14ac:dyDescent="0.25">
      <c r="A31" s="15">
        <v>25</v>
      </c>
      <c r="B31" s="16" t="s">
        <v>210</v>
      </c>
      <c r="C31" s="77" t="str">
        <f>VLOOKUP(B31,ORCAMENTO!B:L,2,FALSE)</f>
        <v>PORTA EM CHAPA LISA DE ALUMÍNIO, COR N/P/B, COMUM, DE ABRIR OU CORRER</v>
      </c>
      <c r="D31" s="77"/>
      <c r="E31" s="77"/>
      <c r="F31" s="77"/>
      <c r="G31" s="16" t="str">
        <f>VLOOKUP(B31,ORCAMENTO!B:L,6,FALSE)</f>
        <v>M2</v>
      </c>
      <c r="H31" s="17">
        <f>SUMIF(ORCAMENTO!B:B,ABCS!B31,ORCAMENTO!H:H)</f>
        <v>8.16</v>
      </c>
      <c r="I31" s="78">
        <f>VLOOKUP(B31,ORCAMENTO!B:L,8,FALSE)</f>
        <v>346.07000000000005</v>
      </c>
      <c r="J31" s="79"/>
      <c r="K31" s="78">
        <f>SUMIF(ORCAMENTO!B:B,ABCS!B31,ORCAMENTO!K:K)</f>
        <v>2823.93</v>
      </c>
      <c r="L31" s="79"/>
      <c r="M31" s="78">
        <f t="shared" si="0"/>
        <v>1.1138999999999999</v>
      </c>
      <c r="N31" s="79"/>
    </row>
    <row r="32" spans="1:14" ht="75" customHeight="1" x14ac:dyDescent="0.25">
      <c r="A32" s="15">
        <v>26</v>
      </c>
      <c r="B32" s="20">
        <v>99198</v>
      </c>
      <c r="C32" s="77" t="str">
        <f>VLOOKUP(B32,ORCAMENTO!B:L,2,FALSE)</f>
        <v>REVESTIMENTO CERÂMICO PARA PAREDES INTERNAS COM PLACAS TIPO ESMALTADA PADRÃO POPULAR DE DIMENSÕES 20X20 CM, ARGAMASSA TIPO AC III, APLICADAS EM AMBIENTES DE ÁREA MAIOR QUE 5 M2 A MEIA ALTURA DAS PAREDES. AF_06/2014</v>
      </c>
      <c r="D32" s="77"/>
      <c r="E32" s="77"/>
      <c r="F32" s="77"/>
      <c r="G32" s="16" t="str">
        <f>VLOOKUP(B32,ORCAMENTO!B:L,6,FALSE)</f>
        <v>M2</v>
      </c>
      <c r="H32" s="17">
        <f>SUMIF(ORCAMENTO!B:B,ABCS!B32,ORCAMENTO!H:H)</f>
        <v>38.559999999999995</v>
      </c>
      <c r="I32" s="78">
        <f>VLOOKUP(B32,ORCAMENTO!B:L,8,FALSE)</f>
        <v>70.83</v>
      </c>
      <c r="J32" s="79"/>
      <c r="K32" s="78">
        <f>SUMIF(ORCAMENTO!B:B,ABCS!B32,ORCAMENTO!K:K)</f>
        <v>2731.2</v>
      </c>
      <c r="L32" s="79"/>
      <c r="M32" s="78">
        <f t="shared" si="0"/>
        <v>1.0772999999999999</v>
      </c>
      <c r="N32" s="79"/>
    </row>
    <row r="33" spans="1:14" ht="15" customHeight="1" x14ac:dyDescent="0.25">
      <c r="A33" s="15">
        <v>27</v>
      </c>
      <c r="B33" s="16" t="s">
        <v>222</v>
      </c>
      <c r="C33" s="77" t="str">
        <f>VLOOKUP(B33,ORCAMENTO!B:L,2,FALSE)</f>
        <v>GRADE PROTEÇÃO C/ BARRA REDONDA FERRO 5/8"</v>
      </c>
      <c r="D33" s="77"/>
      <c r="E33" s="77"/>
      <c r="F33" s="77"/>
      <c r="G33" s="16" t="str">
        <f>VLOOKUP(B33,ORCAMENTO!B:L,6,FALSE)</f>
        <v>M2</v>
      </c>
      <c r="H33" s="17">
        <f>SUMIF(ORCAMENTO!B:B,ABCS!B33,ORCAMENTO!H:H)</f>
        <v>14</v>
      </c>
      <c r="I33" s="78">
        <f>VLOOKUP(B33,ORCAMENTO!B:L,8,FALSE)</f>
        <v>186.96999999999997</v>
      </c>
      <c r="J33" s="79"/>
      <c r="K33" s="78">
        <f>SUMIF(ORCAMENTO!B:B,ABCS!B33,ORCAMENTO!K:K)</f>
        <v>2617.58</v>
      </c>
      <c r="L33" s="79"/>
      <c r="M33" s="78">
        <f t="shared" si="0"/>
        <v>1.0325</v>
      </c>
      <c r="N33" s="79"/>
    </row>
    <row r="34" spans="1:14" ht="45" customHeight="1" x14ac:dyDescent="0.25">
      <c r="A34" s="15">
        <v>28</v>
      </c>
      <c r="B34" s="20">
        <v>91928</v>
      </c>
      <c r="C34" s="77" t="str">
        <f>VLOOKUP(B34,ORCAMENTO!B:L,2,FALSE)</f>
        <v>CABO DE COBRE FLEXÍVEL ISOLADO, 4 MM², ANTI-CHAMA 450/750 V, PARA CIRCUITOS TERMINAIS - FORNECIMENTO E INSTALAÇÃO. AF_12/2015</v>
      </c>
      <c r="D34" s="77"/>
      <c r="E34" s="77"/>
      <c r="F34" s="77"/>
      <c r="G34" s="16" t="str">
        <f>VLOOKUP(B34,ORCAMENTO!B:L,6,FALSE)</f>
        <v>M</v>
      </c>
      <c r="H34" s="17">
        <f>SUMIF(ORCAMENTO!B:B,ABCS!B34,ORCAMENTO!H:H)</f>
        <v>300</v>
      </c>
      <c r="I34" s="78">
        <f>VLOOKUP(B34,ORCAMENTO!B:L,8,FALSE)</f>
        <v>7.6700000000000008</v>
      </c>
      <c r="J34" s="79"/>
      <c r="K34" s="78">
        <f>SUMIF(ORCAMENTO!B:B,ABCS!B34,ORCAMENTO!K:K)</f>
        <v>2301</v>
      </c>
      <c r="L34" s="79"/>
      <c r="M34" s="78">
        <f t="shared" si="0"/>
        <v>0.90759999999999996</v>
      </c>
      <c r="N34" s="79"/>
    </row>
    <row r="35" spans="1:14" ht="45" customHeight="1" x14ac:dyDescent="0.25">
      <c r="A35" s="15">
        <v>29</v>
      </c>
      <c r="B35" s="20">
        <v>91341</v>
      </c>
      <c r="C35" s="77" t="str">
        <f>VLOOKUP(B35,ORCAMENTO!B:L,2,FALSE)</f>
        <v>PORTA EM ALUMÍNIO DE ABRIR TIPO VENEZIANA COM GUARNIÇÃO, FIXAÇÃO COM PARAFUSOS - FORNECIMENTO E INSTALAÇÃO. AF_12/2019</v>
      </c>
      <c r="D35" s="77"/>
      <c r="E35" s="77"/>
      <c r="F35" s="77"/>
      <c r="G35" s="16" t="str">
        <f>VLOOKUP(B35,ORCAMENTO!B:L,6,FALSE)</f>
        <v>M2</v>
      </c>
      <c r="H35" s="17">
        <f>SUMIF(ORCAMENTO!B:B,ABCS!B35,ORCAMENTO!H:H)</f>
        <v>3.36</v>
      </c>
      <c r="I35" s="78">
        <f>VLOOKUP(B35,ORCAMENTO!B:L,8,FALSE)</f>
        <v>661.79000000000008</v>
      </c>
      <c r="J35" s="79"/>
      <c r="K35" s="78">
        <f>SUMIF(ORCAMENTO!B:B,ABCS!B35,ORCAMENTO!K:K)</f>
        <v>2223.61</v>
      </c>
      <c r="L35" s="79"/>
      <c r="M35" s="78">
        <f t="shared" si="0"/>
        <v>0.87709999999999999</v>
      </c>
      <c r="N35" s="79"/>
    </row>
    <row r="36" spans="1:14" ht="45" customHeight="1" x14ac:dyDescent="0.25">
      <c r="A36" s="15">
        <v>30</v>
      </c>
      <c r="B36" s="20">
        <v>86888</v>
      </c>
      <c r="C36" s="77" t="str">
        <f>VLOOKUP(B36,ORCAMENTO!B:L,2,FALSE)</f>
        <v>VASO SANITÁRIO SIFONADO COM CAIXA ACOPLADA LOUÇA BRANCA - FORNECIMENTO E INSTALAÇÃO. AF_01/2020</v>
      </c>
      <c r="D36" s="77"/>
      <c r="E36" s="77"/>
      <c r="F36" s="77"/>
      <c r="G36" s="16" t="str">
        <f>VLOOKUP(B36,ORCAMENTO!B:L,6,FALSE)</f>
        <v>UN</v>
      </c>
      <c r="H36" s="17">
        <f>SUMIF(ORCAMENTO!B:B,ABCS!B36,ORCAMENTO!H:H)</f>
        <v>4</v>
      </c>
      <c r="I36" s="78">
        <f>VLOOKUP(B36,ORCAMENTO!B:L,8,FALSE)</f>
        <v>521.77</v>
      </c>
      <c r="J36" s="79"/>
      <c r="K36" s="78">
        <f>SUMIF(ORCAMENTO!B:B,ABCS!B36,ORCAMENTO!K:K)</f>
        <v>2087.08</v>
      </c>
      <c r="L36" s="79"/>
      <c r="M36" s="78">
        <f t="shared" si="0"/>
        <v>0.82320000000000004</v>
      </c>
      <c r="N36" s="79"/>
    </row>
    <row r="37" spans="1:14" ht="30" customHeight="1" x14ac:dyDescent="0.25">
      <c r="A37" s="15">
        <v>31</v>
      </c>
      <c r="B37" s="16" t="s">
        <v>225</v>
      </c>
      <c r="C37" s="77" t="str">
        <f>VLOOKUP(B37,ORCAMENTO!B:L,2,FALSE)</f>
        <v>ESPELHO DE CRISTAL 4MM COM MOLDURA DE ALUMÍNIO</v>
      </c>
      <c r="D37" s="77"/>
      <c r="E37" s="77"/>
      <c r="F37" s="77"/>
      <c r="G37" s="16" t="str">
        <f>VLOOKUP(B37,ORCAMENTO!B:L,6,FALSE)</f>
        <v>M2</v>
      </c>
      <c r="H37" s="17">
        <f>SUMIF(ORCAMENTO!B:B,ABCS!B37,ORCAMENTO!H:H)</f>
        <v>3.46</v>
      </c>
      <c r="I37" s="78">
        <f>VLOOKUP(B37,ORCAMENTO!B:L,8,FALSE)</f>
        <v>581.16000000000008</v>
      </c>
      <c r="J37" s="79"/>
      <c r="K37" s="78">
        <f>SUMIF(ORCAMENTO!B:B,ABCS!B37,ORCAMENTO!K:K)</f>
        <v>2010.81</v>
      </c>
      <c r="L37" s="79"/>
      <c r="M37" s="78">
        <f t="shared" si="0"/>
        <v>0.79310000000000003</v>
      </c>
      <c r="N37" s="79"/>
    </row>
    <row r="38" spans="1:14" ht="90" customHeight="1" x14ac:dyDescent="0.25">
      <c r="A38" s="15">
        <v>32</v>
      </c>
      <c r="B38" s="20">
        <v>91795</v>
      </c>
      <c r="C38" s="77" t="str">
        <f>VLOOKUP(B38,ORCAMENTO!B:L,2,FALSE)</f>
        <v>(COMPOSIÇÃO REPRESENTATIVA) DO SERVIÇO DE INST. TUBO PVC, SÉRIE N, ESGOTO PREDIAL, 100 MM (INST. RAMAL DESCARGA, RAMAL DE ESG. SANIT., PRUMADA ESG. SANIT., VENTILAÇÃO OU SUB-COLETOR AÉREO), INCL. CONEXÕES E CORTES, FIXAÇÕES, P/ PRÉDIOS. AF_10/2015</v>
      </c>
      <c r="D38" s="77"/>
      <c r="E38" s="77"/>
      <c r="F38" s="77"/>
      <c r="G38" s="16" t="str">
        <f>VLOOKUP(B38,ORCAMENTO!B:L,6,FALSE)</f>
        <v>M</v>
      </c>
      <c r="H38" s="17">
        <f>SUMIF(ORCAMENTO!B:B,ABCS!B38,ORCAMENTO!H:H)</f>
        <v>25</v>
      </c>
      <c r="I38" s="78">
        <f>VLOOKUP(B38,ORCAMENTO!B:L,8,FALSE)</f>
        <v>70.83</v>
      </c>
      <c r="J38" s="79"/>
      <c r="K38" s="78">
        <f>SUMIF(ORCAMENTO!B:B,ABCS!B38,ORCAMENTO!K:K)</f>
        <v>1770.75</v>
      </c>
      <c r="L38" s="79"/>
      <c r="M38" s="78">
        <f t="shared" si="0"/>
        <v>0.69840000000000002</v>
      </c>
      <c r="N38" s="79"/>
    </row>
    <row r="39" spans="1:14" ht="30" customHeight="1" x14ac:dyDescent="0.25">
      <c r="A39" s="15">
        <v>33</v>
      </c>
      <c r="B39" s="16" t="s">
        <v>120</v>
      </c>
      <c r="C39" s="77" t="str">
        <f>VLOOKUP(B39,ORCAMENTO!B:L,2,FALSE)</f>
        <v>ENTRADA DE ENERGIA ELÉTRICA MONOFÁSICA DEMANDA ENTRE 0 E 3,8 KW - REV 01</v>
      </c>
      <c r="D39" s="77"/>
      <c r="E39" s="77"/>
      <c r="F39" s="77"/>
      <c r="G39" s="16" t="str">
        <f>VLOOKUP(B39,ORCAMENTO!B:L,6,FALSE)</f>
        <v>UN</v>
      </c>
      <c r="H39" s="17">
        <f>SUMIF(ORCAMENTO!B:B,ABCS!B39,ORCAMENTO!H:H)</f>
        <v>1</v>
      </c>
      <c r="I39" s="78">
        <f>VLOOKUP(B39,ORCAMENTO!B:L,8,FALSE)</f>
        <v>2106.92</v>
      </c>
      <c r="J39" s="79"/>
      <c r="K39" s="78">
        <f>SUMIF(ORCAMENTO!B:B,ABCS!B39,ORCAMENTO!K:K)</f>
        <v>2106.92</v>
      </c>
      <c r="L39" s="79"/>
      <c r="M39" s="78">
        <f t="shared" ref="M39:M74" si="1">ROUND((K39/$K$76)*100,4)</f>
        <v>0.83099999999999996</v>
      </c>
      <c r="N39" s="79"/>
    </row>
    <row r="40" spans="1:14" ht="30" customHeight="1" x14ac:dyDescent="0.25">
      <c r="A40" s="15">
        <v>34</v>
      </c>
      <c r="B40" s="16" t="s">
        <v>127</v>
      </c>
      <c r="C40" s="77" t="str">
        <f>VLOOKUP(B40,ORCAMENTO!B:L,2,FALSE)</f>
        <v>PROJETO ESTRUTURAL INCLUINDO FUNDAÇÕES CONCRETO ARMADO, ATÉ 500M²</v>
      </c>
      <c r="D40" s="77"/>
      <c r="E40" s="77"/>
      <c r="F40" s="77"/>
      <c r="G40" s="16" t="str">
        <f>VLOOKUP(B40,ORCAMENTO!B:L,6,FALSE)</f>
        <v>M²</v>
      </c>
      <c r="H40" s="17">
        <f>SUMIF(ORCAMENTO!B:B,ABCS!B40,ORCAMENTO!H:H)</f>
        <v>134.76</v>
      </c>
      <c r="I40" s="78">
        <f>VLOOKUP(B40,ORCAMENTO!B:L,8,FALSE)</f>
        <v>10.47</v>
      </c>
      <c r="J40" s="79"/>
      <c r="K40" s="78">
        <f>SUMIF(ORCAMENTO!B:B,ABCS!B40,ORCAMENTO!K:K)</f>
        <v>1410.94</v>
      </c>
      <c r="L40" s="79"/>
      <c r="M40" s="78">
        <f t="shared" si="1"/>
        <v>0.55649999999999999</v>
      </c>
      <c r="N40" s="79"/>
    </row>
    <row r="41" spans="1:14" ht="90" customHeight="1" x14ac:dyDescent="0.25">
      <c r="A41" s="15">
        <v>35</v>
      </c>
      <c r="B41" s="20">
        <v>91785</v>
      </c>
      <c r="C41" s="77" t="str">
        <f>VLOOKUP(B41,ORCAMENTO!B:L,2,FALSE)</f>
        <v>(COMPOSIÇÃO REPRESENTATIVA) DO SERVIÇO DE INSTALAÇÃO DE TUBOS DE PVC, SOLDÁVEL, ÁGUA FRIA, DN 25 MM (INSTALADO EM RAMAL, SUB-RAMAL, RAMAL DE DISTRIBUIÇÃO OU PRUMADA), INCLUSIVE CONEXÕES, CORTES E FIXAÇÕES, PARA PRÉDIOS. AF_10/2015</v>
      </c>
      <c r="D41" s="77"/>
      <c r="E41" s="77"/>
      <c r="F41" s="77"/>
      <c r="G41" s="16" t="str">
        <f>VLOOKUP(B41,ORCAMENTO!B:L,6,FALSE)</f>
        <v>M</v>
      </c>
      <c r="H41" s="17">
        <f>SUMIF(ORCAMENTO!B:B,ABCS!B41,ORCAMENTO!H:H)</f>
        <v>36</v>
      </c>
      <c r="I41" s="78">
        <f>VLOOKUP(B41,ORCAMENTO!B:L,8,FALSE)</f>
        <v>41.77</v>
      </c>
      <c r="J41" s="79"/>
      <c r="K41" s="78">
        <f>SUMIF(ORCAMENTO!B:B,ABCS!B41,ORCAMENTO!K:K)</f>
        <v>1503.72</v>
      </c>
      <c r="L41" s="79"/>
      <c r="M41" s="78">
        <f t="shared" si="1"/>
        <v>0.59309999999999996</v>
      </c>
      <c r="N41" s="79"/>
    </row>
    <row r="42" spans="1:14" ht="30" customHeight="1" x14ac:dyDescent="0.25">
      <c r="A42" s="15">
        <v>36</v>
      </c>
      <c r="B42" s="16" t="s">
        <v>274</v>
      </c>
      <c r="C42" s="77" t="str">
        <f>VLOOKUP(B42,ORCAMENTO!B:L,2,FALSE)</f>
        <v>LUMINÁRIA COM LAMPADA LED TUBULAR BIVOLT 18/20 W, BASE G13 - REV 01</v>
      </c>
      <c r="D42" s="77"/>
      <c r="E42" s="77"/>
      <c r="F42" s="77"/>
      <c r="G42" s="16" t="str">
        <f>VLOOKUP(B42,ORCAMENTO!B:L,6,FALSE)</f>
        <v>UN</v>
      </c>
      <c r="H42" s="17">
        <f>SUMIF(ORCAMENTO!B:B,ABCS!B42,ORCAMENTO!H:H)</f>
        <v>17</v>
      </c>
      <c r="I42" s="78">
        <f>VLOOKUP(B42,ORCAMENTO!B:L,8,FALSE)</f>
        <v>87.679999999999993</v>
      </c>
      <c r="J42" s="79"/>
      <c r="K42" s="78">
        <f>SUMIF(ORCAMENTO!B:B,ABCS!B42,ORCAMENTO!K:K)</f>
        <v>1490.56</v>
      </c>
      <c r="L42" s="79"/>
      <c r="M42" s="78">
        <f t="shared" si="1"/>
        <v>0.58789999999999998</v>
      </c>
      <c r="N42" s="79"/>
    </row>
    <row r="43" spans="1:14" ht="60" customHeight="1" x14ac:dyDescent="0.25">
      <c r="A43" s="15">
        <v>37</v>
      </c>
      <c r="B43" s="20">
        <v>89957</v>
      </c>
      <c r="C43" s="77" t="str">
        <f>VLOOKUP(B43,ORCAMENTO!B:L,2,FALSE)</f>
        <v>PONTO DE CONSUMO TERMINAL DE ÁGUA FRIA (SUBRAMAL) COM TUBULAÇÃO DE PVC, DN 25 MM, INSTALADO EM RAMAL DE ÁGUA, INCLUSOS RASGO E CHUMBAMENTO EM ALVENARIA. AF_12/2014</v>
      </c>
      <c r="D43" s="77"/>
      <c r="E43" s="77"/>
      <c r="F43" s="77"/>
      <c r="G43" s="16" t="str">
        <f>VLOOKUP(B43,ORCAMENTO!B:L,6,FALSE)</f>
        <v>UN</v>
      </c>
      <c r="H43" s="17">
        <f>SUMIF(ORCAMENTO!B:B,ABCS!B43,ORCAMENTO!H:H)</f>
        <v>10</v>
      </c>
      <c r="I43" s="78">
        <f>VLOOKUP(B43,ORCAMENTO!B:L,8,FALSE)</f>
        <v>133.01999999999998</v>
      </c>
      <c r="J43" s="79"/>
      <c r="K43" s="78">
        <f>SUMIF(ORCAMENTO!B:B,ABCS!B43,ORCAMENTO!K:K)</f>
        <v>1330.2</v>
      </c>
      <c r="L43" s="79"/>
      <c r="M43" s="78">
        <f t="shared" si="1"/>
        <v>0.52470000000000006</v>
      </c>
      <c r="N43" s="79"/>
    </row>
    <row r="44" spans="1:14" ht="60" customHeight="1" x14ac:dyDescent="0.25">
      <c r="A44" s="15">
        <v>38</v>
      </c>
      <c r="B44" s="16" t="s">
        <v>279</v>
      </c>
      <c r="C44" s="77" t="str">
        <f>VLOOKUP(B44,ORCAMENTO!B:L,2,FALSE)</f>
        <v>PONTO DE TOMADA 3P PARA AR CONDICIONADO ATÉ 3000 VA, COM ELETRODUTO DE PVC FLEXÍVEL SANFONADO EMBUTIDO  Ø 3/4", INCLUINDO CONJUNTO ASTOP/30A-220V, INCLUSIVE ATERRAMENTO</v>
      </c>
      <c r="D44" s="77"/>
      <c r="E44" s="77"/>
      <c r="F44" s="77"/>
      <c r="G44" s="16" t="str">
        <f>VLOOKUP(B44,ORCAMENTO!B:L,6,FALSE)</f>
        <v>PT</v>
      </c>
      <c r="H44" s="17">
        <f>SUMIF(ORCAMENTO!B:B,ABCS!B44,ORCAMENTO!H:H)</f>
        <v>5</v>
      </c>
      <c r="I44" s="78">
        <f>VLOOKUP(B44,ORCAMENTO!B:L,8,FALSE)</f>
        <v>284.13</v>
      </c>
      <c r="J44" s="79"/>
      <c r="K44" s="78">
        <f>SUMIF(ORCAMENTO!B:B,ABCS!B44,ORCAMENTO!K:K)</f>
        <v>1420.65</v>
      </c>
      <c r="L44" s="79"/>
      <c r="M44" s="78">
        <f t="shared" si="1"/>
        <v>0.56040000000000001</v>
      </c>
      <c r="N44" s="79"/>
    </row>
    <row r="45" spans="1:14" ht="30" customHeight="1" x14ac:dyDescent="0.25">
      <c r="A45" s="15">
        <v>39</v>
      </c>
      <c r="B45" s="16" t="s">
        <v>238</v>
      </c>
      <c r="C45" s="77" t="str">
        <f>VLOOKUP(B45,ORCAMENTO!B:L,2,FALSE)</f>
        <v>CAIXA D'AGUA DE POLIETILENO - INSTALADA, EXCETO BASE DE APOIO, CAP. 500 LITROS</v>
      </c>
      <c r="D45" s="77"/>
      <c r="E45" s="77"/>
      <c r="F45" s="77"/>
      <c r="G45" s="16" t="str">
        <f>VLOOKUP(B45,ORCAMENTO!B:L,6,FALSE)</f>
        <v>UN</v>
      </c>
      <c r="H45" s="17">
        <f>SUMIF(ORCAMENTO!B:B,ABCS!B45,ORCAMENTO!H:H)</f>
        <v>2</v>
      </c>
      <c r="I45" s="78">
        <f>VLOOKUP(B45,ORCAMENTO!B:L,8,FALSE)</f>
        <v>655.62999999999988</v>
      </c>
      <c r="J45" s="79"/>
      <c r="K45" s="78">
        <f>SUMIF(ORCAMENTO!B:B,ABCS!B45,ORCAMENTO!K:K)</f>
        <v>1311.26</v>
      </c>
      <c r="L45" s="79"/>
      <c r="M45" s="78">
        <f t="shared" si="1"/>
        <v>0.51719999999999999</v>
      </c>
      <c r="N45" s="79"/>
    </row>
    <row r="46" spans="1:14" ht="15" customHeight="1" x14ac:dyDescent="0.25">
      <c r="A46" s="15">
        <v>40</v>
      </c>
      <c r="B46" s="16" t="s">
        <v>248</v>
      </c>
      <c r="C46" s="77" t="str">
        <f>VLOOKUP(B46,ORCAMENTO!B:L,2,FALSE)</f>
        <v>CAIXA DE INSPEÇÃO  0.60 X 0.60 X 0.60M</v>
      </c>
      <c r="D46" s="77"/>
      <c r="E46" s="77"/>
      <c r="F46" s="77"/>
      <c r="G46" s="16" t="str">
        <f>VLOOKUP(B46,ORCAMENTO!B:L,6,FALSE)</f>
        <v>UN</v>
      </c>
      <c r="H46" s="17">
        <f>SUMIF(ORCAMENTO!B:B,ABCS!B46,ORCAMENTO!H:H)</f>
        <v>2</v>
      </c>
      <c r="I46" s="78">
        <f>VLOOKUP(B46,ORCAMENTO!B:L,8,FALSE)</f>
        <v>609.65</v>
      </c>
      <c r="J46" s="79"/>
      <c r="K46" s="78">
        <f>SUMIF(ORCAMENTO!B:B,ABCS!B46,ORCAMENTO!K:K)</f>
        <v>1219.3</v>
      </c>
      <c r="L46" s="79"/>
      <c r="M46" s="78">
        <f t="shared" si="1"/>
        <v>0.48089999999999999</v>
      </c>
      <c r="N46" s="79"/>
    </row>
    <row r="47" spans="1:14" ht="30" customHeight="1" x14ac:dyDescent="0.25">
      <c r="A47" s="15">
        <v>41</v>
      </c>
      <c r="B47" s="20">
        <v>98524</v>
      </c>
      <c r="C47" s="77" t="str">
        <f>VLOOKUP(B47,ORCAMENTO!B:L,2,FALSE)</f>
        <v>LIMPEZA MANUAL DE VEGETAÇÃO EM TERRENO COM ENXADA.AF_05/2018</v>
      </c>
      <c r="D47" s="77"/>
      <c r="E47" s="77"/>
      <c r="F47" s="77"/>
      <c r="G47" s="16" t="str">
        <f>VLOOKUP(B47,ORCAMENTO!B:L,6,FALSE)</f>
        <v>M2</v>
      </c>
      <c r="H47" s="17">
        <f>SUMIF(ORCAMENTO!B:B,ABCS!B47,ORCAMENTO!H:H)</f>
        <v>388.03</v>
      </c>
      <c r="I47" s="78">
        <f>VLOOKUP(B47,ORCAMENTO!B:L,8,FALSE)</f>
        <v>2.9800000000000004</v>
      </c>
      <c r="J47" s="79"/>
      <c r="K47" s="78">
        <f>SUMIF(ORCAMENTO!B:B,ABCS!B47,ORCAMENTO!K:K)</f>
        <v>1156.33</v>
      </c>
      <c r="L47" s="79"/>
      <c r="M47" s="78">
        <f t="shared" si="1"/>
        <v>0.45610000000000001</v>
      </c>
      <c r="N47" s="79"/>
    </row>
    <row r="48" spans="1:14" ht="30" customHeight="1" x14ac:dyDescent="0.25">
      <c r="A48" s="15">
        <v>42</v>
      </c>
      <c r="B48" s="20">
        <v>88415</v>
      </c>
      <c r="C48" s="77" t="str">
        <f>VLOOKUP(B48,ORCAMENTO!B:L,2,FALSE)</f>
        <v>APLICAÇÃO MANUAL DE FUNDO SELADOR ACRÍLICO EM PAREDES EXTERNAS DE CASAS. AF_06/2014</v>
      </c>
      <c r="D48" s="77"/>
      <c r="E48" s="77"/>
      <c r="F48" s="77"/>
      <c r="G48" s="16" t="str">
        <f>VLOOKUP(B48,ORCAMENTO!B:L,6,FALSE)</f>
        <v>M2</v>
      </c>
      <c r="H48" s="17">
        <f>SUMIF(ORCAMENTO!B:B,ABCS!B48,ORCAMENTO!H:H)</f>
        <v>372.12</v>
      </c>
      <c r="I48" s="78">
        <f>VLOOKUP(B48,ORCAMENTO!B:L,8,FALSE)</f>
        <v>2.74</v>
      </c>
      <c r="J48" s="79"/>
      <c r="K48" s="78">
        <f>SUMIF(ORCAMENTO!B:B,ABCS!B48,ORCAMENTO!K:K)</f>
        <v>1019.61</v>
      </c>
      <c r="L48" s="79"/>
      <c r="M48" s="78">
        <f t="shared" si="1"/>
        <v>0.4022</v>
      </c>
      <c r="N48" s="79"/>
    </row>
    <row r="49" spans="1:14" ht="30" customHeight="1" x14ac:dyDescent="0.25">
      <c r="A49" s="15">
        <v>43</v>
      </c>
      <c r="B49" s="16" t="s">
        <v>290</v>
      </c>
      <c r="C49" s="77" t="str">
        <f>VLOOKUP(B49,ORCAMENTO!B:L,2,FALSE)</f>
        <v>RETIRADA DE ENTULHO DA OBRA UTILIZANDO CAIXA COLETORA CAPACIDADE 5 M3 (LOCAL: ARACAJU)</v>
      </c>
      <c r="D49" s="77"/>
      <c r="E49" s="77"/>
      <c r="F49" s="77"/>
      <c r="G49" s="16" t="str">
        <f>VLOOKUP(B49,ORCAMENTO!B:L,6,FALSE)</f>
        <v>M3</v>
      </c>
      <c r="H49" s="17">
        <f>SUMIF(ORCAMENTO!B:B,ABCS!B49,ORCAMENTO!H:H)</f>
        <v>30</v>
      </c>
      <c r="I49" s="78">
        <f>VLOOKUP(B49,ORCAMENTO!B:L,8,FALSE)</f>
        <v>60.4</v>
      </c>
      <c r="J49" s="79"/>
      <c r="K49" s="78">
        <f>SUMIF(ORCAMENTO!B:B,ABCS!B49,ORCAMENTO!K:K)</f>
        <v>1812</v>
      </c>
      <c r="L49" s="79"/>
      <c r="M49" s="78">
        <f t="shared" si="1"/>
        <v>0.7147</v>
      </c>
      <c r="N49" s="79"/>
    </row>
    <row r="50" spans="1:14" ht="60" customHeight="1" x14ac:dyDescent="0.25">
      <c r="A50" s="15">
        <v>44</v>
      </c>
      <c r="B50" s="20">
        <v>91834</v>
      </c>
      <c r="C50" s="77" t="str">
        <f>VLOOKUP(B50,ORCAMENTO!B:L,2,FALSE)</f>
        <v>ELETRODUTO FLEXÍVEL CORRUGADO, PVC, DN 25 MM (3/4"), PARA CIRCUITOS TERMINAIS, INSTALADO EM FORRO - FORNECIMENTO E INSTALAÇÃO. AF_12/2015</v>
      </c>
      <c r="D50" s="77"/>
      <c r="E50" s="77"/>
      <c r="F50" s="77"/>
      <c r="G50" s="16" t="str">
        <f>VLOOKUP(B50,ORCAMENTO!B:L,6,FALSE)</f>
        <v>M</v>
      </c>
      <c r="H50" s="17">
        <f>SUMIF(ORCAMENTO!B:B,ABCS!B50,ORCAMENTO!H:H)</f>
        <v>100</v>
      </c>
      <c r="I50" s="78">
        <f>VLOOKUP(B50,ORCAMENTO!B:L,8,FALSE)</f>
        <v>8.35</v>
      </c>
      <c r="J50" s="79"/>
      <c r="K50" s="78">
        <f>SUMIF(ORCAMENTO!B:B,ABCS!B50,ORCAMENTO!K:K)</f>
        <v>835</v>
      </c>
      <c r="L50" s="79"/>
      <c r="M50" s="78">
        <f t="shared" si="1"/>
        <v>0.32940000000000003</v>
      </c>
      <c r="N50" s="79"/>
    </row>
    <row r="51" spans="1:14" ht="30" customHeight="1" x14ac:dyDescent="0.25">
      <c r="A51" s="15">
        <v>45</v>
      </c>
      <c r="B51" s="16" t="s">
        <v>244</v>
      </c>
      <c r="C51" s="77" t="str">
        <f>VLOOKUP(B51,ORCAMENTO!B:L,2,FALSE)</f>
        <v>PONTO DE ESGOTO COM TUBO DE PVC RÍGIDO SOLDÁVEL DE Ø 100 MM (VASO SANITÁRIO)</v>
      </c>
      <c r="D51" s="77"/>
      <c r="E51" s="77"/>
      <c r="F51" s="77"/>
      <c r="G51" s="16" t="str">
        <f>VLOOKUP(B51,ORCAMENTO!B:L,6,FALSE)</f>
        <v>PT</v>
      </c>
      <c r="H51" s="17">
        <f>SUMIF(ORCAMENTO!B:B,ABCS!B51,ORCAMENTO!H:H)</f>
        <v>6</v>
      </c>
      <c r="I51" s="78">
        <f>VLOOKUP(B51,ORCAMENTO!B:L,8,FALSE)</f>
        <v>126.09</v>
      </c>
      <c r="J51" s="79"/>
      <c r="K51" s="78">
        <f>SUMIF(ORCAMENTO!B:B,ABCS!B51,ORCAMENTO!K:K)</f>
        <v>756.54</v>
      </c>
      <c r="L51" s="79"/>
      <c r="M51" s="78">
        <f t="shared" si="1"/>
        <v>0.2984</v>
      </c>
      <c r="N51" s="79"/>
    </row>
    <row r="52" spans="1:14" ht="45" customHeight="1" x14ac:dyDescent="0.25">
      <c r="A52" s="15">
        <v>46</v>
      </c>
      <c r="B52" s="16" t="s">
        <v>231</v>
      </c>
      <c r="C52" s="77" t="str">
        <f>VLOOKUP(B52,ORCAMENTO!B:L,2,FALSE)</f>
        <v>PINTURA DE ACABAMENTO COM APLICAÇÃO DE 02 DEMÃOS DE ESMALTE  SINTÉTICO SOBRE SUPERFÍCIES METÁLICAS - R1</v>
      </c>
      <c r="D52" s="77"/>
      <c r="E52" s="77"/>
      <c r="F52" s="77"/>
      <c r="G52" s="16" t="str">
        <f>VLOOKUP(B52,ORCAMENTO!B:L,6,FALSE)</f>
        <v>M2</v>
      </c>
      <c r="H52" s="17">
        <f>SUMIF(ORCAMENTO!B:B,ABCS!B52,ORCAMENTO!H:H)</f>
        <v>38.76</v>
      </c>
      <c r="I52" s="78">
        <f>VLOOKUP(B52,ORCAMENTO!B:L,8,FALSE)</f>
        <v>20.04</v>
      </c>
      <c r="J52" s="79"/>
      <c r="K52" s="78">
        <f>SUMIF(ORCAMENTO!B:B,ABCS!B52,ORCAMENTO!K:K)</f>
        <v>776.75</v>
      </c>
      <c r="L52" s="79"/>
      <c r="M52" s="78">
        <f t="shared" si="1"/>
        <v>0.30640000000000001</v>
      </c>
      <c r="N52" s="79"/>
    </row>
    <row r="53" spans="1:14" ht="45" customHeight="1" x14ac:dyDescent="0.25">
      <c r="A53" s="15">
        <v>47</v>
      </c>
      <c r="B53" s="20">
        <v>91927</v>
      </c>
      <c r="C53" s="77" t="str">
        <f>VLOOKUP(B53,ORCAMENTO!B:L,2,FALSE)</f>
        <v>CABO DE COBRE FLEXÍVEL ISOLADO, 2,5 MM², ANTI-CHAMA 0,6/1,0 KV, PARA CIRCUITOS TERMINAIS - FORNECIMENTO E INSTALAÇÃO. AF_12/2015</v>
      </c>
      <c r="D53" s="77"/>
      <c r="E53" s="77"/>
      <c r="F53" s="77"/>
      <c r="G53" s="16" t="str">
        <f>VLOOKUP(B53,ORCAMENTO!B:L,6,FALSE)</f>
        <v>M</v>
      </c>
      <c r="H53" s="17">
        <f>SUMIF(ORCAMENTO!B:B,ABCS!B53,ORCAMENTO!H:H)</f>
        <v>100</v>
      </c>
      <c r="I53" s="78">
        <f>VLOOKUP(B53,ORCAMENTO!B:L,8,FALSE)</f>
        <v>6.2299999999999995</v>
      </c>
      <c r="J53" s="79"/>
      <c r="K53" s="78">
        <f>SUMIF(ORCAMENTO!B:B,ABCS!B53,ORCAMENTO!K:K)</f>
        <v>623</v>
      </c>
      <c r="L53" s="79"/>
      <c r="M53" s="78">
        <f t="shared" si="1"/>
        <v>0.2457</v>
      </c>
      <c r="N53" s="79"/>
    </row>
    <row r="54" spans="1:14" ht="45" customHeight="1" x14ac:dyDescent="0.25">
      <c r="A54" s="15">
        <v>48</v>
      </c>
      <c r="B54" s="20">
        <v>91931</v>
      </c>
      <c r="C54" s="77" t="str">
        <f>VLOOKUP(B54,ORCAMENTO!B:L,2,FALSE)</f>
        <v>CABO DE COBRE FLEXÍVEL ISOLADO, 6 MM², ANTI-CHAMA 0,6/1,0 KV, PARA CIRCUITOS TERMINAIS - FORNECIMENTO E INSTALAÇÃO. AF_12/2015</v>
      </c>
      <c r="D54" s="77"/>
      <c r="E54" s="77"/>
      <c r="F54" s="77"/>
      <c r="G54" s="16" t="str">
        <f>VLOOKUP(B54,ORCAMENTO!B:L,6,FALSE)</f>
        <v>M</v>
      </c>
      <c r="H54" s="17">
        <f>SUMIF(ORCAMENTO!B:B,ABCS!B54,ORCAMENTO!H:H)</f>
        <v>50</v>
      </c>
      <c r="I54" s="78">
        <f>VLOOKUP(B54,ORCAMENTO!B:L,8,FALSE)</f>
        <v>11.900000000000002</v>
      </c>
      <c r="J54" s="79"/>
      <c r="K54" s="78">
        <f>SUMIF(ORCAMENTO!B:B,ABCS!B54,ORCAMENTO!K:K)</f>
        <v>595</v>
      </c>
      <c r="L54" s="79"/>
      <c r="M54" s="78">
        <f t="shared" si="1"/>
        <v>0.23469999999999999</v>
      </c>
      <c r="N54" s="79"/>
    </row>
    <row r="55" spans="1:14" ht="60" customHeight="1" x14ac:dyDescent="0.25">
      <c r="A55" s="15">
        <v>49</v>
      </c>
      <c r="B55" s="16" t="s">
        <v>118</v>
      </c>
      <c r="C55" s="77" t="str">
        <f>VLOOKUP(B55,ORCAMENTO!B:L,2,FALSE)</f>
        <v>LIGAÇÃO PREDIAL DE ÁGUA EM MURETA DE CONCRETO, PROVISÓRIA OU DEFINITIVA, COM FORNECIMENTO DE MATERIAL, INCLUSIVE MURETA E HIDRÔMETRO, REDE DN 50MM</v>
      </c>
      <c r="D55" s="77"/>
      <c r="E55" s="77"/>
      <c r="F55" s="77"/>
      <c r="G55" s="16" t="str">
        <f>VLOOKUP(B55,ORCAMENTO!B:L,6,FALSE)</f>
        <v>UN</v>
      </c>
      <c r="H55" s="17">
        <f>SUMIF(ORCAMENTO!B:B,ABCS!B55,ORCAMENTO!H:H)</f>
        <v>1</v>
      </c>
      <c r="I55" s="78">
        <f>VLOOKUP(B55,ORCAMENTO!B:L,8,FALSE)</f>
        <v>660.87</v>
      </c>
      <c r="J55" s="79"/>
      <c r="K55" s="78">
        <f>SUMIF(ORCAMENTO!B:B,ABCS!B55,ORCAMENTO!K:K)</f>
        <v>660.87</v>
      </c>
      <c r="L55" s="79"/>
      <c r="M55" s="78">
        <f t="shared" si="1"/>
        <v>0.26069999999999999</v>
      </c>
      <c r="N55" s="79"/>
    </row>
    <row r="56" spans="1:14" ht="30" customHeight="1" x14ac:dyDescent="0.25">
      <c r="A56" s="15">
        <v>50</v>
      </c>
      <c r="B56" s="20">
        <v>98689</v>
      </c>
      <c r="C56" s="77" t="str">
        <f>VLOOKUP(B56,ORCAMENTO!B:L,2,FALSE)</f>
        <v>SOLEIRA EM GRANITO, LARGURA 15 CM, ESPESSURA 2,0 CM. AF_09/2020</v>
      </c>
      <c r="D56" s="77"/>
      <c r="E56" s="77"/>
      <c r="F56" s="77"/>
      <c r="G56" s="16" t="str">
        <f>VLOOKUP(B56,ORCAMENTO!B:L,6,FALSE)</f>
        <v>M</v>
      </c>
      <c r="H56" s="17">
        <f>SUMIF(ORCAMENTO!B:B,ABCS!B56,ORCAMENTO!H:H)</f>
        <v>5.12</v>
      </c>
      <c r="I56" s="78">
        <f>VLOOKUP(B56,ORCAMENTO!B:L,8,FALSE)</f>
        <v>93.61</v>
      </c>
      <c r="J56" s="79"/>
      <c r="K56" s="78">
        <f>SUMIF(ORCAMENTO!B:B,ABCS!B56,ORCAMENTO!K:K)</f>
        <v>479.28</v>
      </c>
      <c r="L56" s="79"/>
      <c r="M56" s="78">
        <f t="shared" si="1"/>
        <v>0.189</v>
      </c>
      <c r="N56" s="79"/>
    </row>
    <row r="57" spans="1:14" ht="15" customHeight="1" x14ac:dyDescent="0.25">
      <c r="A57" s="15">
        <v>51</v>
      </c>
      <c r="B57" s="16" t="s">
        <v>292</v>
      </c>
      <c r="C57" s="77" t="str">
        <f>VLOOKUP(B57,ORCAMENTO!B:L,2,FALSE)</f>
        <v>LIMPEZA GERAL</v>
      </c>
      <c r="D57" s="77"/>
      <c r="E57" s="77"/>
      <c r="F57" s="77"/>
      <c r="G57" s="16" t="str">
        <f>VLOOKUP(B57,ORCAMENTO!B:L,6,FALSE)</f>
        <v>M2</v>
      </c>
      <c r="H57" s="17">
        <f>SUMIF(ORCAMENTO!B:B,ABCS!B57,ORCAMENTO!H:H)</f>
        <v>204.5</v>
      </c>
      <c r="I57" s="78">
        <f>VLOOKUP(B57,ORCAMENTO!B:L,8,FALSE)</f>
        <v>2.31</v>
      </c>
      <c r="J57" s="79"/>
      <c r="K57" s="78">
        <f>SUMIF(ORCAMENTO!B:B,ABCS!B57,ORCAMENTO!K:K)</f>
        <v>472.4</v>
      </c>
      <c r="L57" s="79"/>
      <c r="M57" s="78">
        <f t="shared" si="1"/>
        <v>0.18629999999999999</v>
      </c>
      <c r="N57" s="79"/>
    </row>
    <row r="58" spans="1:14" ht="45" customHeight="1" x14ac:dyDescent="0.25">
      <c r="A58" s="15">
        <v>52</v>
      </c>
      <c r="B58" s="20">
        <v>92008</v>
      </c>
      <c r="C58" s="77" t="str">
        <f>VLOOKUP(B58,ORCAMENTO!B:L,2,FALSE)</f>
        <v>TOMADA BAIXA DE EMBUTIR (2 MÓDULOS), 2P+T 10 A, INCLUINDO SUPORTE E PLACA - FORNECIMENTO E INSTALAÇÃO. AF_12/2015</v>
      </c>
      <c r="D58" s="77"/>
      <c r="E58" s="77"/>
      <c r="F58" s="77"/>
      <c r="G58" s="16" t="str">
        <f>VLOOKUP(B58,ORCAMENTO!B:L,6,FALSE)</f>
        <v>UN</v>
      </c>
      <c r="H58" s="17">
        <f>SUMIF(ORCAMENTO!B:B,ABCS!B58,ORCAMENTO!H:H)</f>
        <v>11</v>
      </c>
      <c r="I58" s="78">
        <f>VLOOKUP(B58,ORCAMENTO!B:L,8,FALSE)</f>
        <v>44.25</v>
      </c>
      <c r="J58" s="79"/>
      <c r="K58" s="78">
        <f>SUMIF(ORCAMENTO!B:B,ABCS!B58,ORCAMENTO!K:K)</f>
        <v>486.75</v>
      </c>
      <c r="L58" s="79"/>
      <c r="M58" s="78">
        <f t="shared" si="1"/>
        <v>0.192</v>
      </c>
      <c r="N58" s="79"/>
    </row>
    <row r="59" spans="1:14" ht="45" customHeight="1" x14ac:dyDescent="0.25">
      <c r="A59" s="15">
        <v>53</v>
      </c>
      <c r="B59" s="16" t="s">
        <v>261</v>
      </c>
      <c r="C59" s="77" t="str">
        <f>VLOOKUP(B59,ORCAMENTO!B:L,2,FALSE)</f>
        <v>QUADRO DE DISTRIBUIÇÃO DE EMBUTIR, EM CHAPA DE AÇO, PARA ATÉ 12 DISJUNTORES, COM BARRAMENTO, PADRÃO DIN, EXCLUSIVE DISJUNTORES</v>
      </c>
      <c r="D59" s="77"/>
      <c r="E59" s="77"/>
      <c r="F59" s="77"/>
      <c r="G59" s="16" t="str">
        <f>VLOOKUP(B59,ORCAMENTO!B:L,6,FALSE)</f>
        <v>UN</v>
      </c>
      <c r="H59" s="17">
        <f>SUMIF(ORCAMENTO!B:B,ABCS!B59,ORCAMENTO!H:H)</f>
        <v>1</v>
      </c>
      <c r="I59" s="78">
        <f>VLOOKUP(B59,ORCAMENTO!B:L,8,FALSE)</f>
        <v>741.28</v>
      </c>
      <c r="J59" s="79"/>
      <c r="K59" s="78">
        <f>SUMIF(ORCAMENTO!B:B,ABCS!B59,ORCAMENTO!K:K)</f>
        <v>741.28</v>
      </c>
      <c r="L59" s="79"/>
      <c r="M59" s="78">
        <f t="shared" si="1"/>
        <v>0.29239999999999999</v>
      </c>
      <c r="N59" s="79"/>
    </row>
    <row r="60" spans="1:14" ht="15" customHeight="1" x14ac:dyDescent="0.25">
      <c r="A60" s="15">
        <v>54</v>
      </c>
      <c r="B60" s="16" t="s">
        <v>131</v>
      </c>
      <c r="C60" s="77" t="str">
        <f>VLOOKUP(B60,ORCAMENTO!B:L,2,FALSE)</f>
        <v>PROJETO HIDRAÚLICO - ÁGUA FRIA</v>
      </c>
      <c r="D60" s="77"/>
      <c r="E60" s="77"/>
      <c r="F60" s="77"/>
      <c r="G60" s="16" t="str">
        <f>VLOOKUP(B60,ORCAMENTO!B:L,6,FALSE)</f>
        <v>M²</v>
      </c>
      <c r="H60" s="17">
        <f>SUMIF(ORCAMENTO!B:B,ABCS!B60,ORCAMENTO!H:H)</f>
        <v>134.76</v>
      </c>
      <c r="I60" s="78">
        <f>VLOOKUP(B60,ORCAMENTO!B:L,8,FALSE)</f>
        <v>3.27</v>
      </c>
      <c r="J60" s="79"/>
      <c r="K60" s="78">
        <f>SUMIF(ORCAMENTO!B:B,ABCS!B60,ORCAMENTO!K:K)</f>
        <v>440.67</v>
      </c>
      <c r="L60" s="79"/>
      <c r="M60" s="78">
        <f t="shared" si="1"/>
        <v>0.17380000000000001</v>
      </c>
      <c r="N60" s="79"/>
    </row>
    <row r="61" spans="1:14" ht="30" customHeight="1" x14ac:dyDescent="0.25">
      <c r="A61" s="15">
        <v>55</v>
      </c>
      <c r="B61" s="16" t="s">
        <v>133</v>
      </c>
      <c r="C61" s="77" t="str">
        <f>VLOOKUP(B61,ORCAMENTO!B:L,2,FALSE)</f>
        <v>PROJETO DE REDE DE ESGOTO SANITÁRIO COM TRATAMENTO SIMPLES (FOSSA E FILTRO, SUMIDOURO)</v>
      </c>
      <c r="D61" s="77"/>
      <c r="E61" s="77"/>
      <c r="F61" s="77"/>
      <c r="G61" s="16" t="str">
        <f>VLOOKUP(B61,ORCAMENTO!B:L,6,FALSE)</f>
        <v>M²</v>
      </c>
      <c r="H61" s="17">
        <f>SUMIF(ORCAMENTO!B:B,ABCS!B61,ORCAMENTO!H:H)</f>
        <v>134.76</v>
      </c>
      <c r="I61" s="78">
        <f>VLOOKUP(B61,ORCAMENTO!B:L,8,FALSE)</f>
        <v>3.27</v>
      </c>
      <c r="J61" s="79"/>
      <c r="K61" s="78">
        <f>SUMIF(ORCAMENTO!B:B,ABCS!B61,ORCAMENTO!K:K)</f>
        <v>440.67</v>
      </c>
      <c r="L61" s="79"/>
      <c r="M61" s="78">
        <f t="shared" si="1"/>
        <v>0.17380000000000001</v>
      </c>
      <c r="N61" s="79"/>
    </row>
    <row r="62" spans="1:14" ht="15" customHeight="1" x14ac:dyDescent="0.25">
      <c r="A62" s="15">
        <v>56</v>
      </c>
      <c r="B62" s="16" t="s">
        <v>116</v>
      </c>
      <c r="C62" s="77" t="str">
        <f>VLOOKUP(B62,ORCAMENTO!B:L,2,FALSE)</f>
        <v xml:space="preserve">PLACA DE OBRA EM CHAPA DE AÇO GALVANIZADO </v>
      </c>
      <c r="D62" s="77"/>
      <c r="E62" s="77"/>
      <c r="F62" s="77"/>
      <c r="G62" s="16" t="str">
        <f>VLOOKUP(B62,ORCAMENTO!B:L,6,FALSE)</f>
        <v>M²</v>
      </c>
      <c r="H62" s="17">
        <f>SUMIF(ORCAMENTO!B:B,ABCS!B62,ORCAMENTO!H:H)</f>
        <v>1</v>
      </c>
      <c r="I62" s="78">
        <f>VLOOKUP(B62,ORCAMENTO!B:L,8,FALSE)</f>
        <v>377.44000000000005</v>
      </c>
      <c r="J62" s="79"/>
      <c r="K62" s="78">
        <f>SUMIF(ORCAMENTO!B:B,ABCS!B62,ORCAMENTO!K:K)</f>
        <v>377.44</v>
      </c>
      <c r="L62" s="79"/>
      <c r="M62" s="78">
        <f t="shared" si="1"/>
        <v>0.1489</v>
      </c>
      <c r="N62" s="79"/>
    </row>
    <row r="63" spans="1:14" ht="45" customHeight="1" x14ac:dyDescent="0.25">
      <c r="A63" s="15">
        <v>57</v>
      </c>
      <c r="B63" s="20">
        <v>98530</v>
      </c>
      <c r="C63" s="77" t="str">
        <f>VLOOKUP(B63,ORCAMENTO!B:L,2,FALSE)</f>
        <v>CORTE RASO E RECORTE DE ÁRVORE COM DIÂMETRO DE TRONCO MAIOR OU IGUAL A 0,40 M E MENOR QUE 0,60 M.AF_05/2018</v>
      </c>
      <c r="D63" s="77"/>
      <c r="E63" s="77"/>
      <c r="F63" s="77"/>
      <c r="G63" s="16" t="str">
        <f>VLOOKUP(B63,ORCAMENTO!B:L,6,FALSE)</f>
        <v>UN</v>
      </c>
      <c r="H63" s="17">
        <f>SUMIF(ORCAMENTO!B:B,ABCS!B63,ORCAMENTO!H:H)</f>
        <v>3</v>
      </c>
      <c r="I63" s="78">
        <f>VLOOKUP(B63,ORCAMENTO!B:L,8,FALSE)</f>
        <v>114.77</v>
      </c>
      <c r="J63" s="79"/>
      <c r="K63" s="78">
        <f>SUMIF(ORCAMENTO!B:B,ABCS!B63,ORCAMENTO!K:K)</f>
        <v>344.31</v>
      </c>
      <c r="L63" s="79"/>
      <c r="M63" s="78">
        <f t="shared" si="1"/>
        <v>0.1358</v>
      </c>
      <c r="N63" s="79"/>
    </row>
    <row r="64" spans="1:14" ht="45" customHeight="1" x14ac:dyDescent="0.25">
      <c r="A64" s="15">
        <v>58</v>
      </c>
      <c r="B64" s="16" t="s">
        <v>242</v>
      </c>
      <c r="C64" s="77" t="str">
        <f>VLOOKUP(B64,ORCAMENTO!B:L,2,FALSE)</f>
        <v>PONTO DE ESGOTO COM TUBO DE PVC RÍGIDO SOLDÁVEL DE  Ø 40 MM (LAVATÓRIOS, MICTÓRIOS, RALOS SIFONADOS, ETC...)</v>
      </c>
      <c r="D64" s="77"/>
      <c r="E64" s="77"/>
      <c r="F64" s="77"/>
      <c r="G64" s="16" t="str">
        <f>VLOOKUP(B64,ORCAMENTO!B:L,6,FALSE)</f>
        <v>UN</v>
      </c>
      <c r="H64" s="17">
        <f>SUMIF(ORCAMENTO!B:B,ABCS!B64,ORCAMENTO!H:H)</f>
        <v>4</v>
      </c>
      <c r="I64" s="78">
        <f>VLOOKUP(B64,ORCAMENTO!B:L,8,FALSE)</f>
        <v>83.76</v>
      </c>
      <c r="J64" s="79"/>
      <c r="K64" s="78">
        <f>SUMIF(ORCAMENTO!B:B,ABCS!B64,ORCAMENTO!K:K)</f>
        <v>335.04</v>
      </c>
      <c r="L64" s="79"/>
      <c r="M64" s="78">
        <f t="shared" si="1"/>
        <v>0.13220000000000001</v>
      </c>
      <c r="N64" s="79"/>
    </row>
    <row r="65" spans="1:14" ht="45" customHeight="1" x14ac:dyDescent="0.25">
      <c r="A65" s="15">
        <v>59</v>
      </c>
      <c r="B65" s="16" t="s">
        <v>246</v>
      </c>
      <c r="C65" s="77" t="str">
        <f>VLOOKUP(B65,ORCAMENTO!B:L,2,FALSE)</f>
        <v>RALO SIFONADO EM PVC D = 100 MM ALTURA REGULÁVEL, SAÍDA 40 MM, COM GRELHA REDONDA ACABAMENTO CROMADO</v>
      </c>
      <c r="D65" s="77"/>
      <c r="E65" s="77"/>
      <c r="F65" s="77"/>
      <c r="G65" s="16" t="str">
        <f>VLOOKUP(B65,ORCAMENTO!B:L,6,FALSE)</f>
        <v>UN</v>
      </c>
      <c r="H65" s="17">
        <f>SUMIF(ORCAMENTO!B:B,ABCS!B65,ORCAMENTO!H:H)</f>
        <v>6</v>
      </c>
      <c r="I65" s="78">
        <f>VLOOKUP(B65,ORCAMENTO!B:L,8,FALSE)</f>
        <v>38.900000000000006</v>
      </c>
      <c r="J65" s="79"/>
      <c r="K65" s="78">
        <f>SUMIF(ORCAMENTO!B:B,ABCS!B65,ORCAMENTO!K:K)</f>
        <v>233.4</v>
      </c>
      <c r="L65" s="79"/>
      <c r="M65" s="78">
        <f t="shared" si="1"/>
        <v>9.2100000000000001E-2</v>
      </c>
      <c r="N65" s="79"/>
    </row>
    <row r="66" spans="1:14" ht="90" customHeight="1" x14ac:dyDescent="0.25">
      <c r="A66" s="15">
        <v>60</v>
      </c>
      <c r="B66" s="20">
        <v>89048</v>
      </c>
      <c r="C66" s="77" t="str">
        <f>VLOOKUP(B66,ORCAMENTO!B:L,2,FALSE)</f>
        <v>(COMPOSIÇÃO REPRESENTATIVA) DO SERVIÇO DE EMBOÇO/MASSA ÚNICA, TRAÇO 1:2:8, PREPARO MECÂNICO, COM BETONEIRA DE 400L, EM PAREDES DE AMBIENTES INTERNOS, COM EXECUÇÃO DE TALISCAS, PARA EDIFICAÇÃO HABITACIONAL MULTIFAMILIAR (PRÉDIO). AF_11/2014</v>
      </c>
      <c r="D66" s="77"/>
      <c r="E66" s="77"/>
      <c r="F66" s="77"/>
      <c r="G66" s="16" t="str">
        <f>VLOOKUP(B66,ORCAMENTO!B:L,6,FALSE)</f>
        <v>M2</v>
      </c>
      <c r="H66" s="17">
        <f>SUMIF(ORCAMENTO!B:B,ABCS!B66,ORCAMENTO!H:H)</f>
        <v>5</v>
      </c>
      <c r="I66" s="78">
        <f>VLOOKUP(B66,ORCAMENTO!B:L,8,FALSE)</f>
        <v>36.46</v>
      </c>
      <c r="J66" s="79"/>
      <c r="K66" s="78">
        <f>SUMIF(ORCAMENTO!B:B,ABCS!B66,ORCAMENTO!K:K)</f>
        <v>182.3</v>
      </c>
      <c r="L66" s="79"/>
      <c r="M66" s="78">
        <f t="shared" si="1"/>
        <v>7.1900000000000006E-2</v>
      </c>
      <c r="N66" s="79"/>
    </row>
    <row r="67" spans="1:14" ht="45" customHeight="1" x14ac:dyDescent="0.25">
      <c r="A67" s="15">
        <v>61</v>
      </c>
      <c r="B67" s="20">
        <v>97622</v>
      </c>
      <c r="C67" s="77" t="str">
        <f>VLOOKUP(B67,ORCAMENTO!B:L,2,FALSE)</f>
        <v>DEMOLIÇÃO DE ALVENARIA DE BLOCO FURADO, DE FORMA MANUAL, SEM REAPROVEITAMENTO. AF_12/2017</v>
      </c>
      <c r="D67" s="77"/>
      <c r="E67" s="77"/>
      <c r="F67" s="77"/>
      <c r="G67" s="16" t="str">
        <f>VLOOKUP(B67,ORCAMENTO!B:L,6,FALSE)</f>
        <v>M3</v>
      </c>
      <c r="H67" s="17">
        <f>SUMIF(ORCAMENTO!B:B,ABCS!B67,ORCAMENTO!H:H)</f>
        <v>3.62</v>
      </c>
      <c r="I67" s="78">
        <f>VLOOKUP(B67,ORCAMENTO!B:L,8,FALSE)</f>
        <v>48.49</v>
      </c>
      <c r="J67" s="79"/>
      <c r="K67" s="78">
        <f>SUMIF(ORCAMENTO!B:B,ABCS!B67,ORCAMENTO!K:K)</f>
        <v>175.53</v>
      </c>
      <c r="L67" s="79"/>
      <c r="M67" s="78">
        <f t="shared" si="1"/>
        <v>6.9199999999999998E-2</v>
      </c>
      <c r="N67" s="79"/>
    </row>
    <row r="68" spans="1:14" ht="30" customHeight="1" x14ac:dyDescent="0.25">
      <c r="A68" s="15">
        <v>62</v>
      </c>
      <c r="B68" s="16" t="s">
        <v>258</v>
      </c>
      <c r="C68" s="77" t="str">
        <f>VLOOKUP(B68,ORCAMENTO!B:L,2,FALSE)</f>
        <v>CHUVEIRO SIMPLES DE PLÁSTICO (HERC REF 1980 OU SIMILAR), C/ REGISTRO DE PRESSÃO DE PVC</v>
      </c>
      <c r="D68" s="77"/>
      <c r="E68" s="77"/>
      <c r="F68" s="77"/>
      <c r="G68" s="16" t="str">
        <f>VLOOKUP(B68,ORCAMENTO!B:L,6,FALSE)</f>
        <v>UN</v>
      </c>
      <c r="H68" s="17">
        <f>SUMIF(ORCAMENTO!B:B,ABCS!B68,ORCAMENTO!H:H)</f>
        <v>2</v>
      </c>
      <c r="I68" s="78">
        <f>VLOOKUP(B68,ORCAMENTO!B:L,8,FALSE)</f>
        <v>59.83</v>
      </c>
      <c r="J68" s="79"/>
      <c r="K68" s="78">
        <f>SUMIF(ORCAMENTO!B:B,ABCS!B68,ORCAMENTO!K:K)</f>
        <v>119.66</v>
      </c>
      <c r="L68" s="79"/>
      <c r="M68" s="78">
        <f t="shared" si="1"/>
        <v>4.7199999999999999E-2</v>
      </c>
      <c r="N68" s="79"/>
    </row>
    <row r="69" spans="1:14" ht="45" customHeight="1" x14ac:dyDescent="0.25">
      <c r="A69" s="15">
        <v>63</v>
      </c>
      <c r="B69" s="20">
        <v>93654</v>
      </c>
      <c r="C69" s="77" t="str">
        <f>VLOOKUP(B69,ORCAMENTO!B:L,2,FALSE)</f>
        <v>DISJUNTOR MONOPOLAR TIPO DIN, CORRENTE NOMINAL DE 16A - FORNECIMENTO E INSTALAÇÃO. AF_10/2020</v>
      </c>
      <c r="D69" s="77"/>
      <c r="E69" s="77"/>
      <c r="F69" s="77"/>
      <c r="G69" s="16" t="str">
        <f>VLOOKUP(B69,ORCAMENTO!B:L,6,FALSE)</f>
        <v>UN</v>
      </c>
      <c r="H69" s="17">
        <f>SUMIF(ORCAMENTO!B:B,ABCS!B69,ORCAMENTO!H:H)</f>
        <v>7</v>
      </c>
      <c r="I69" s="78">
        <f>VLOOKUP(B69,ORCAMENTO!B:L,8,FALSE)</f>
        <v>14.7</v>
      </c>
      <c r="J69" s="79"/>
      <c r="K69" s="78">
        <f>SUMIF(ORCAMENTO!B:B,ABCS!B69,ORCAMENTO!K:K)</f>
        <v>102.9</v>
      </c>
      <c r="L69" s="79"/>
      <c r="M69" s="78">
        <f t="shared" si="1"/>
        <v>4.0599999999999997E-2</v>
      </c>
      <c r="N69" s="79"/>
    </row>
    <row r="70" spans="1:14" ht="45" customHeight="1" x14ac:dyDescent="0.25">
      <c r="A70" s="15">
        <v>64</v>
      </c>
      <c r="B70" s="16" t="s">
        <v>266</v>
      </c>
      <c r="C70" s="77" t="str">
        <f>VLOOKUP(B70,ORCAMENTO!B:L,2,FALSE)</f>
        <v>DISJUNTOR MONOPOLAR DR 25 A  - DISPOSITIVO RESIDUAL DIFERENCIAL, TIPO AC, REF.5SU1 SIEMENS OU SIMILAR</v>
      </c>
      <c r="D70" s="77"/>
      <c r="E70" s="77"/>
      <c r="F70" s="77"/>
      <c r="G70" s="16" t="str">
        <f>VLOOKUP(B70,ORCAMENTO!B:L,6,FALSE)</f>
        <v>UN</v>
      </c>
      <c r="H70" s="17">
        <f>SUMIF(ORCAMENTO!B:B,ABCS!B70,ORCAMENTO!H:H)</f>
        <v>1</v>
      </c>
      <c r="I70" s="78">
        <f>VLOOKUP(B70,ORCAMENTO!B:L,8,FALSE)</f>
        <v>93.31</v>
      </c>
      <c r="J70" s="79"/>
      <c r="K70" s="78">
        <f>SUMIF(ORCAMENTO!B:B,ABCS!B70,ORCAMENTO!K:K)</f>
        <v>93.31</v>
      </c>
      <c r="L70" s="79"/>
      <c r="M70" s="78">
        <f t="shared" si="1"/>
        <v>3.6799999999999999E-2</v>
      </c>
      <c r="N70" s="79"/>
    </row>
    <row r="71" spans="1:14" ht="30" customHeight="1" x14ac:dyDescent="0.25">
      <c r="A71" s="15">
        <v>65</v>
      </c>
      <c r="B71" s="16" t="s">
        <v>268</v>
      </c>
      <c r="C71" s="77" t="str">
        <f>VLOOKUP(B71,ORCAMENTO!B:L,2,FALSE)</f>
        <v>DISPOSITIVO DE PROTEÇÃO CONTRA SURTO DE TENSÃO DPS 40KA - 175V</v>
      </c>
      <c r="D71" s="77"/>
      <c r="E71" s="77"/>
      <c r="F71" s="77"/>
      <c r="G71" s="16" t="str">
        <f>VLOOKUP(B71,ORCAMENTO!B:L,6,FALSE)</f>
        <v>UN</v>
      </c>
      <c r="H71" s="17">
        <f>SUMIF(ORCAMENTO!B:B,ABCS!B71,ORCAMENTO!H:H)</f>
        <v>1</v>
      </c>
      <c r="I71" s="78">
        <f>VLOOKUP(B71,ORCAMENTO!B:L,8,FALSE)</f>
        <v>76.710000000000008</v>
      </c>
      <c r="J71" s="79"/>
      <c r="K71" s="78">
        <f>SUMIF(ORCAMENTO!B:B,ABCS!B71,ORCAMENTO!K:K)</f>
        <v>76.709999999999994</v>
      </c>
      <c r="L71" s="79"/>
      <c r="M71" s="78">
        <f t="shared" si="1"/>
        <v>3.0300000000000001E-2</v>
      </c>
      <c r="N71" s="79"/>
    </row>
    <row r="72" spans="1:14" ht="45" customHeight="1" x14ac:dyDescent="0.25">
      <c r="A72" s="15">
        <v>66</v>
      </c>
      <c r="B72" s="20">
        <v>91969</v>
      </c>
      <c r="C72" s="77" t="str">
        <f>VLOOKUP(B72,ORCAMENTO!B:L,2,FALSE)</f>
        <v>INTERRUPTOR PARALELO (3 MÓDULOS), 10A/250V, INCLUINDO SUPORTE E PLACA - FORNECIMENTO E INSTALAÇÃO. AF_12/2015</v>
      </c>
      <c r="D72" s="77"/>
      <c r="E72" s="77"/>
      <c r="F72" s="77"/>
      <c r="G72" s="16" t="str">
        <f>VLOOKUP(B72,ORCAMENTO!B:L,6,FALSE)</f>
        <v>UN</v>
      </c>
      <c r="H72" s="17">
        <f>SUMIF(ORCAMENTO!B:B,ABCS!B72,ORCAMENTO!H:H)</f>
        <v>1</v>
      </c>
      <c r="I72" s="78">
        <f>VLOOKUP(B72,ORCAMENTO!B:L,8,FALSE)</f>
        <v>74.34</v>
      </c>
      <c r="J72" s="79"/>
      <c r="K72" s="78">
        <f>SUMIF(ORCAMENTO!B:B,ABCS!B72,ORCAMENTO!K:K)</f>
        <v>74.34</v>
      </c>
      <c r="L72" s="79"/>
      <c r="M72" s="78">
        <f t="shared" si="1"/>
        <v>2.93E-2</v>
      </c>
      <c r="N72" s="79"/>
    </row>
    <row r="73" spans="1:14" ht="45" customHeight="1" x14ac:dyDescent="0.25">
      <c r="A73" s="15">
        <v>67</v>
      </c>
      <c r="B73" s="20">
        <v>91953</v>
      </c>
      <c r="C73" s="77" t="str">
        <f>VLOOKUP(B73,ORCAMENTO!B:L,2,FALSE)</f>
        <v>INTERRUPTOR SIMPLES (1 MÓDULO), 10A/250V, INCLUINDO SUPORTE E PLACA - FORNECIMENTO E INSTALAÇÃO. AF_12/2015</v>
      </c>
      <c r="D73" s="77"/>
      <c r="E73" s="77"/>
      <c r="F73" s="77"/>
      <c r="G73" s="16" t="str">
        <f>VLOOKUP(B73,ORCAMENTO!B:L,6,FALSE)</f>
        <v>UN</v>
      </c>
      <c r="H73" s="17">
        <f>SUMIF(ORCAMENTO!B:B,ABCS!B73,ORCAMENTO!H:H)</f>
        <v>2</v>
      </c>
      <c r="I73" s="78">
        <f>VLOOKUP(B73,ORCAMENTO!B:L,8,FALSE)</f>
        <v>26</v>
      </c>
      <c r="J73" s="79"/>
      <c r="K73" s="78">
        <f>SUMIF(ORCAMENTO!B:B,ABCS!B73,ORCAMENTO!K:K)</f>
        <v>52</v>
      </c>
      <c r="L73" s="79"/>
      <c r="M73" s="78">
        <f t="shared" si="1"/>
        <v>2.0500000000000001E-2</v>
      </c>
      <c r="N73" s="79"/>
    </row>
    <row r="74" spans="1:14" ht="45" customHeight="1" x14ac:dyDescent="0.25">
      <c r="A74" s="15">
        <v>68</v>
      </c>
      <c r="B74" s="20">
        <v>101890</v>
      </c>
      <c r="C74" s="77" t="str">
        <f>VLOOKUP(B74,ORCAMENTO!B:L,2,FALSE)</f>
        <v>DISJUNTOR MONOPOLAR TIPO NEMA, CORRENTE NOMINAL DE 10 ATÉ 30A - FORNECIMENTO E INSTALAÇÃO. AF_10/2020</v>
      </c>
      <c r="D74" s="77"/>
      <c r="E74" s="77"/>
      <c r="F74" s="77"/>
      <c r="G74" s="16" t="str">
        <f>VLOOKUP(B74,ORCAMENTO!B:L,6,FALSE)</f>
        <v>UN</v>
      </c>
      <c r="H74" s="17">
        <f>SUMIF(ORCAMENTO!B:B,ABCS!B74,ORCAMENTO!H:H)</f>
        <v>1</v>
      </c>
      <c r="I74" s="78">
        <f>VLOOKUP(B74,ORCAMENTO!B:L,8,FALSE)</f>
        <v>19.260000000000002</v>
      </c>
      <c r="J74" s="79"/>
      <c r="K74" s="78">
        <f>SUMIF(ORCAMENTO!B:B,ABCS!B74,ORCAMENTO!K:K)</f>
        <v>19.260000000000002</v>
      </c>
      <c r="L74" s="79"/>
      <c r="M74" s="78">
        <f t="shared" si="1"/>
        <v>7.6E-3</v>
      </c>
      <c r="N74" s="79"/>
    </row>
    <row r="75" spans="1:14" ht="15" customHeight="1" x14ac:dyDescent="0.25">
      <c r="A75" s="3"/>
      <c r="B75" s="3"/>
      <c r="C75" s="3"/>
      <c r="D75" s="3"/>
      <c r="E75" s="3"/>
      <c r="F75" s="3"/>
      <c r="G75" s="3"/>
      <c r="H75" s="3"/>
      <c r="I75" s="3"/>
      <c r="J75" s="3"/>
      <c r="K75" s="3"/>
      <c r="L75" s="3"/>
      <c r="M75" s="3"/>
      <c r="N75" s="3"/>
    </row>
    <row r="76" spans="1:14" ht="15" customHeight="1" x14ac:dyDescent="0.25">
      <c r="A76" s="56" t="s">
        <v>855</v>
      </c>
      <c r="B76" s="57"/>
      <c r="C76" s="57"/>
      <c r="D76" s="57"/>
      <c r="E76" s="57"/>
      <c r="F76" s="57"/>
      <c r="G76" s="57"/>
      <c r="H76" s="57"/>
      <c r="I76" s="57"/>
      <c r="J76" s="58"/>
      <c r="K76" s="71">
        <f>SUM(K7:L75)</f>
        <v>253527.19</v>
      </c>
      <c r="L76" s="72"/>
      <c r="M76" s="71">
        <f>SUM(M7:N75)</f>
        <v>99.999999999999986</v>
      </c>
      <c r="N76" s="72"/>
    </row>
  </sheetData>
  <sheetProtection formatCells="0" formatColumns="0" formatRows="0" insertColumns="0" insertRows="0" insertHyperlinks="0" deleteColumns="0" deleteRows="0" sort="0" autoFilter="0" pivotTables="0"/>
  <mergeCells count="282">
    <mergeCell ref="C7:F7"/>
    <mergeCell ref="I7:J7"/>
    <mergeCell ref="K7:L7"/>
    <mergeCell ref="M7:N7"/>
    <mergeCell ref="C8:F8"/>
    <mergeCell ref="I8:J8"/>
    <mergeCell ref="K8:L8"/>
    <mergeCell ref="M8:N8"/>
    <mergeCell ref="A1:N1"/>
    <mergeCell ref="A2:N2"/>
    <mergeCell ref="A3:N3"/>
    <mergeCell ref="C6:F6"/>
    <mergeCell ref="I6:J6"/>
    <mergeCell ref="K6:L6"/>
    <mergeCell ref="M6:N6"/>
    <mergeCell ref="C11:F11"/>
    <mergeCell ref="I11:J11"/>
    <mergeCell ref="K11:L11"/>
    <mergeCell ref="M11:N11"/>
    <mergeCell ref="C12:F12"/>
    <mergeCell ref="I12:J12"/>
    <mergeCell ref="K12:L12"/>
    <mergeCell ref="M12:N12"/>
    <mergeCell ref="C9:F9"/>
    <mergeCell ref="I9:J9"/>
    <mergeCell ref="K9:L9"/>
    <mergeCell ref="M9:N9"/>
    <mergeCell ref="C10:F10"/>
    <mergeCell ref="I10:J10"/>
    <mergeCell ref="K10:L10"/>
    <mergeCell ref="M10:N10"/>
    <mergeCell ref="C15:F15"/>
    <mergeCell ref="I15:J15"/>
    <mergeCell ref="K15:L15"/>
    <mergeCell ref="M15:N15"/>
    <mergeCell ref="C16:F16"/>
    <mergeCell ref="I16:J16"/>
    <mergeCell ref="K16:L16"/>
    <mergeCell ref="M16:N16"/>
    <mergeCell ref="C13:F13"/>
    <mergeCell ref="I13:J13"/>
    <mergeCell ref="K13:L13"/>
    <mergeCell ref="M13:N13"/>
    <mergeCell ref="C14:F14"/>
    <mergeCell ref="I14:J14"/>
    <mergeCell ref="K14:L14"/>
    <mergeCell ref="M14:N14"/>
    <mergeCell ref="C19:F19"/>
    <mergeCell ref="I19:J19"/>
    <mergeCell ref="K19:L19"/>
    <mergeCell ref="M19:N19"/>
    <mergeCell ref="C20:F20"/>
    <mergeCell ref="I20:J20"/>
    <mergeCell ref="K20:L20"/>
    <mergeCell ref="M20:N20"/>
    <mergeCell ref="C17:F17"/>
    <mergeCell ref="I17:J17"/>
    <mergeCell ref="K17:L17"/>
    <mergeCell ref="M17:N17"/>
    <mergeCell ref="C18:F18"/>
    <mergeCell ref="I18:J18"/>
    <mergeCell ref="K18:L18"/>
    <mergeCell ref="M18:N18"/>
    <mergeCell ref="C23:F23"/>
    <mergeCell ref="I23:J23"/>
    <mergeCell ref="K23:L23"/>
    <mergeCell ref="M23:N23"/>
    <mergeCell ref="C24:F24"/>
    <mergeCell ref="I24:J24"/>
    <mergeCell ref="K24:L24"/>
    <mergeCell ref="M24:N24"/>
    <mergeCell ref="C21:F21"/>
    <mergeCell ref="I21:J21"/>
    <mergeCell ref="K21:L21"/>
    <mergeCell ref="M21:N21"/>
    <mergeCell ref="C22:F22"/>
    <mergeCell ref="I22:J22"/>
    <mergeCell ref="K22:L22"/>
    <mergeCell ref="M22:N22"/>
    <mergeCell ref="C27:F27"/>
    <mergeCell ref="I27:J27"/>
    <mergeCell ref="K27:L27"/>
    <mergeCell ref="M27:N27"/>
    <mergeCell ref="C28:F28"/>
    <mergeCell ref="I28:J28"/>
    <mergeCell ref="K28:L28"/>
    <mergeCell ref="M28:N28"/>
    <mergeCell ref="C25:F25"/>
    <mergeCell ref="I25:J25"/>
    <mergeCell ref="K25:L25"/>
    <mergeCell ref="M25:N25"/>
    <mergeCell ref="C26:F26"/>
    <mergeCell ref="I26:J26"/>
    <mergeCell ref="K26:L26"/>
    <mergeCell ref="M26:N26"/>
    <mergeCell ref="C31:F31"/>
    <mergeCell ref="I31:J31"/>
    <mergeCell ref="K31:L31"/>
    <mergeCell ref="M31:N31"/>
    <mergeCell ref="C32:F32"/>
    <mergeCell ref="I32:J32"/>
    <mergeCell ref="K32:L32"/>
    <mergeCell ref="M32:N32"/>
    <mergeCell ref="C29:F29"/>
    <mergeCell ref="I29:J29"/>
    <mergeCell ref="K29:L29"/>
    <mergeCell ref="M29:N29"/>
    <mergeCell ref="C30:F30"/>
    <mergeCell ref="I30:J30"/>
    <mergeCell ref="K30:L30"/>
    <mergeCell ref="M30:N30"/>
    <mergeCell ref="C35:F35"/>
    <mergeCell ref="I35:J35"/>
    <mergeCell ref="K35:L35"/>
    <mergeCell ref="M35:N35"/>
    <mergeCell ref="C36:F36"/>
    <mergeCell ref="I36:J36"/>
    <mergeCell ref="K36:L36"/>
    <mergeCell ref="M36:N36"/>
    <mergeCell ref="C33:F33"/>
    <mergeCell ref="I33:J33"/>
    <mergeCell ref="K33:L33"/>
    <mergeCell ref="M33:N33"/>
    <mergeCell ref="C34:F34"/>
    <mergeCell ref="I34:J34"/>
    <mergeCell ref="K34:L34"/>
    <mergeCell ref="M34:N34"/>
    <mergeCell ref="C39:F39"/>
    <mergeCell ref="I39:J39"/>
    <mergeCell ref="K39:L39"/>
    <mergeCell ref="M39:N39"/>
    <mergeCell ref="C40:F40"/>
    <mergeCell ref="I40:J40"/>
    <mergeCell ref="K40:L40"/>
    <mergeCell ref="M40:N40"/>
    <mergeCell ref="C37:F37"/>
    <mergeCell ref="I37:J37"/>
    <mergeCell ref="K37:L37"/>
    <mergeCell ref="M37:N37"/>
    <mergeCell ref="C38:F38"/>
    <mergeCell ref="I38:J38"/>
    <mergeCell ref="K38:L38"/>
    <mergeCell ref="M38:N38"/>
    <mergeCell ref="C43:F43"/>
    <mergeCell ref="I43:J43"/>
    <mergeCell ref="K43:L43"/>
    <mergeCell ref="M43:N43"/>
    <mergeCell ref="C44:F44"/>
    <mergeCell ref="I44:J44"/>
    <mergeCell ref="K44:L44"/>
    <mergeCell ref="M44:N44"/>
    <mergeCell ref="C41:F41"/>
    <mergeCell ref="I41:J41"/>
    <mergeCell ref="K41:L41"/>
    <mergeCell ref="M41:N41"/>
    <mergeCell ref="C42:F42"/>
    <mergeCell ref="I42:J42"/>
    <mergeCell ref="K42:L42"/>
    <mergeCell ref="M42:N42"/>
    <mergeCell ref="C47:F47"/>
    <mergeCell ref="I47:J47"/>
    <mergeCell ref="K47:L47"/>
    <mergeCell ref="M47:N47"/>
    <mergeCell ref="C48:F48"/>
    <mergeCell ref="I48:J48"/>
    <mergeCell ref="K48:L48"/>
    <mergeCell ref="M48:N48"/>
    <mergeCell ref="C45:F45"/>
    <mergeCell ref="I45:J45"/>
    <mergeCell ref="K45:L45"/>
    <mergeCell ref="M45:N45"/>
    <mergeCell ref="C46:F46"/>
    <mergeCell ref="I46:J46"/>
    <mergeCell ref="K46:L46"/>
    <mergeCell ref="M46:N46"/>
    <mergeCell ref="C51:F51"/>
    <mergeCell ref="I51:J51"/>
    <mergeCell ref="K51:L51"/>
    <mergeCell ref="M51:N51"/>
    <mergeCell ref="C52:F52"/>
    <mergeCell ref="I52:J52"/>
    <mergeCell ref="K52:L52"/>
    <mergeCell ref="M52:N52"/>
    <mergeCell ref="C49:F49"/>
    <mergeCell ref="I49:J49"/>
    <mergeCell ref="K49:L49"/>
    <mergeCell ref="M49:N49"/>
    <mergeCell ref="C50:F50"/>
    <mergeCell ref="I50:J50"/>
    <mergeCell ref="K50:L50"/>
    <mergeCell ref="M50:N50"/>
    <mergeCell ref="C55:F55"/>
    <mergeCell ref="I55:J55"/>
    <mergeCell ref="K55:L55"/>
    <mergeCell ref="M55:N55"/>
    <mergeCell ref="C56:F56"/>
    <mergeCell ref="I56:J56"/>
    <mergeCell ref="K56:L56"/>
    <mergeCell ref="M56:N56"/>
    <mergeCell ref="C53:F53"/>
    <mergeCell ref="I53:J53"/>
    <mergeCell ref="K53:L53"/>
    <mergeCell ref="M53:N53"/>
    <mergeCell ref="C54:F54"/>
    <mergeCell ref="I54:J54"/>
    <mergeCell ref="K54:L54"/>
    <mergeCell ref="M54:N54"/>
    <mergeCell ref="C59:F59"/>
    <mergeCell ref="I59:J59"/>
    <mergeCell ref="K59:L59"/>
    <mergeCell ref="M59:N59"/>
    <mergeCell ref="C60:F60"/>
    <mergeCell ref="I60:J60"/>
    <mergeCell ref="K60:L60"/>
    <mergeCell ref="M60:N60"/>
    <mergeCell ref="C57:F57"/>
    <mergeCell ref="I57:J57"/>
    <mergeCell ref="K57:L57"/>
    <mergeCell ref="M57:N57"/>
    <mergeCell ref="C58:F58"/>
    <mergeCell ref="I58:J58"/>
    <mergeCell ref="K58:L58"/>
    <mergeCell ref="M58:N58"/>
    <mergeCell ref="C63:F63"/>
    <mergeCell ref="I63:J63"/>
    <mergeCell ref="K63:L63"/>
    <mergeCell ref="M63:N63"/>
    <mergeCell ref="C64:F64"/>
    <mergeCell ref="I64:J64"/>
    <mergeCell ref="K64:L64"/>
    <mergeCell ref="M64:N64"/>
    <mergeCell ref="C61:F61"/>
    <mergeCell ref="I61:J61"/>
    <mergeCell ref="K61:L61"/>
    <mergeCell ref="M61:N61"/>
    <mergeCell ref="C62:F62"/>
    <mergeCell ref="I62:J62"/>
    <mergeCell ref="K62:L62"/>
    <mergeCell ref="M62:N62"/>
    <mergeCell ref="C67:F67"/>
    <mergeCell ref="I67:J67"/>
    <mergeCell ref="K67:L67"/>
    <mergeCell ref="M67:N67"/>
    <mergeCell ref="C68:F68"/>
    <mergeCell ref="I68:J68"/>
    <mergeCell ref="K68:L68"/>
    <mergeCell ref="M68:N68"/>
    <mergeCell ref="C65:F65"/>
    <mergeCell ref="I65:J65"/>
    <mergeCell ref="K65:L65"/>
    <mergeCell ref="M65:N65"/>
    <mergeCell ref="C66:F66"/>
    <mergeCell ref="I66:J66"/>
    <mergeCell ref="K66:L66"/>
    <mergeCell ref="M66:N66"/>
    <mergeCell ref="C71:F71"/>
    <mergeCell ref="I71:J71"/>
    <mergeCell ref="K71:L71"/>
    <mergeCell ref="M71:N71"/>
    <mergeCell ref="C72:F72"/>
    <mergeCell ref="I72:J72"/>
    <mergeCell ref="K72:L72"/>
    <mergeCell ref="M72:N72"/>
    <mergeCell ref="C69:F69"/>
    <mergeCell ref="I69:J69"/>
    <mergeCell ref="K69:L69"/>
    <mergeCell ref="M69:N69"/>
    <mergeCell ref="C70:F70"/>
    <mergeCell ref="I70:J70"/>
    <mergeCell ref="K70:L70"/>
    <mergeCell ref="M70:N70"/>
    <mergeCell ref="A76:J76"/>
    <mergeCell ref="K76:L76"/>
    <mergeCell ref="M76:N76"/>
    <mergeCell ref="C73:F73"/>
    <mergeCell ref="I73:J73"/>
    <mergeCell ref="K73:L73"/>
    <mergeCell ref="M73:N73"/>
    <mergeCell ref="C74:F74"/>
    <mergeCell ref="I74:J74"/>
    <mergeCell ref="K74:L74"/>
    <mergeCell ref="M74:N74"/>
  </mergeCells>
  <pageMargins left="0.70866141732283472" right="0.70866141732283472" top="0.74803149606299213" bottom="0.74803149606299213" header="0.31496062992125984" footer="0.31496062992125984"/>
  <pageSetup scale="5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view="pageBreakPreview" zoomScale="90" zoomScaleNormal="100" zoomScaleSheetLayoutView="90" workbookViewId="0">
      <selection activeCell="H10" sqref="H10"/>
    </sheetView>
  </sheetViews>
  <sheetFormatPr defaultRowHeight="15" customHeight="1" x14ac:dyDescent="0.25"/>
  <cols>
    <col min="1" max="2" width="12.7109375" style="1" customWidth="1"/>
    <col min="3" max="3" width="4.7109375" style="1" customWidth="1"/>
    <col min="4" max="4" width="8" style="1" customWidth="1"/>
    <col min="5" max="5" width="19" style="1" customWidth="1"/>
    <col min="6" max="6" width="20" style="1" customWidth="1"/>
    <col min="7" max="7" width="8.7109375" style="1" customWidth="1"/>
    <col min="8" max="8" width="16.7109375" style="1" customWidth="1"/>
    <col min="9" max="14" width="8.7109375" style="1" customWidth="1"/>
    <col min="15" max="16384" width="9.140625" style="1"/>
  </cols>
  <sheetData>
    <row r="1" spans="1:14" ht="15" customHeight="1" x14ac:dyDescent="0.25">
      <c r="A1" s="52" t="str">
        <f>CIDADE</f>
        <v>MUNICÍPIO DE PICOS - PI</v>
      </c>
      <c r="B1" s="52"/>
      <c r="C1" s="52"/>
      <c r="D1" s="52"/>
      <c r="E1" s="52"/>
      <c r="F1" s="52"/>
      <c r="G1" s="52"/>
      <c r="H1" s="52"/>
      <c r="I1" s="52"/>
      <c r="J1" s="52"/>
      <c r="K1" s="52"/>
      <c r="L1" s="52"/>
      <c r="M1" s="52"/>
      <c r="N1" s="52"/>
    </row>
    <row r="2" spans="1:14" ht="15" customHeight="1" x14ac:dyDescent="0.25">
      <c r="A2" s="52" t="str">
        <f>OBRA</f>
        <v>AMPLIAÇÃO ANTIGO PRÉDIO IAPEP PICOS</v>
      </c>
      <c r="B2" s="52"/>
      <c r="C2" s="52"/>
      <c r="D2" s="52"/>
      <c r="E2" s="52"/>
      <c r="F2" s="52"/>
      <c r="G2" s="52"/>
      <c r="H2" s="52"/>
      <c r="I2" s="52"/>
      <c r="J2" s="52"/>
      <c r="K2" s="52"/>
      <c r="L2" s="52"/>
      <c r="M2" s="52"/>
      <c r="N2" s="52"/>
    </row>
    <row r="3" spans="1:14" ht="30" customHeight="1" x14ac:dyDescent="0.25">
      <c r="A3" s="40"/>
      <c r="B3" s="40"/>
      <c r="C3" s="52" t="s">
        <v>1646</v>
      </c>
      <c r="D3" s="52"/>
      <c r="E3" s="52"/>
      <c r="F3" s="52"/>
      <c r="G3" s="52"/>
      <c r="H3" s="52"/>
      <c r="I3" s="52"/>
      <c r="J3" s="52"/>
      <c r="K3" s="52"/>
      <c r="L3" s="52"/>
      <c r="M3" s="40"/>
      <c r="N3" s="40"/>
    </row>
    <row r="4" spans="1:14" ht="15" customHeight="1" x14ac:dyDescent="0.25">
      <c r="A4" s="3"/>
      <c r="B4" s="3"/>
      <c r="C4" s="3"/>
      <c r="D4" s="3"/>
      <c r="E4" s="3"/>
      <c r="F4" s="3"/>
      <c r="G4" s="3"/>
      <c r="H4" s="3"/>
      <c r="I4" s="3"/>
      <c r="J4" s="3"/>
      <c r="K4" s="3"/>
      <c r="L4" s="3"/>
      <c r="M4" s="3"/>
      <c r="N4" s="3"/>
    </row>
    <row r="5" spans="1:14" ht="15" customHeight="1" x14ac:dyDescent="0.25">
      <c r="A5" s="38" t="s">
        <v>3</v>
      </c>
      <c r="B5" s="4" t="str">
        <f>FONTE&amp;ONERA</f>
        <v>SINAPI PI-06/2021, SEINFRA 27, ORSE-06/2021, SEM DESONERAÇÃO</v>
      </c>
      <c r="C5" s="38"/>
      <c r="D5" s="38"/>
      <c r="E5" s="38"/>
      <c r="F5" s="3"/>
      <c r="G5" s="3"/>
      <c r="H5" s="38" t="s">
        <v>5</v>
      </c>
      <c r="I5" s="5">
        <f>LEI</f>
        <v>112.14999999999999</v>
      </c>
      <c r="J5" s="3"/>
      <c r="K5" s="3"/>
      <c r="L5" s="3"/>
      <c r="M5" s="38" t="s">
        <v>6</v>
      </c>
      <c r="N5" s="5">
        <f>BDI</f>
        <v>20.8</v>
      </c>
    </row>
    <row r="6" spans="1:14" ht="15" customHeight="1" x14ac:dyDescent="0.25">
      <c r="A6" s="10" t="s">
        <v>19</v>
      </c>
      <c r="B6" s="10" t="s">
        <v>31</v>
      </c>
      <c r="C6" s="82" t="s">
        <v>7</v>
      </c>
      <c r="D6" s="83"/>
      <c r="E6" s="83"/>
      <c r="F6" s="83"/>
      <c r="G6" s="6" t="s">
        <v>32</v>
      </c>
      <c r="H6" s="49" t="s">
        <v>33</v>
      </c>
      <c r="I6" s="50"/>
      <c r="J6" s="50"/>
      <c r="K6" s="50"/>
      <c r="L6" s="50"/>
      <c r="M6" s="50"/>
      <c r="N6" s="51"/>
    </row>
    <row r="7" spans="1:14" ht="60" customHeight="1" x14ac:dyDescent="0.25">
      <c r="A7" s="39">
        <v>1</v>
      </c>
      <c r="B7" s="20">
        <v>95952</v>
      </c>
      <c r="C7" s="77" t="str">
        <f>VLOOKUP(B7,ORCAMENTO!B:L,2,FALSE)</f>
        <v>(COMPOSIÇÃO REPRESENTATIVA) EXECUÇÃO DE ESTRUTURAS DE CONCRETO ARMADO CONVENCIONAL, PARA EDIFICAÇÃO HABITACIONAL MULTIFAMILIAR (PRÉDIO), FCK = 25 MPA. AF_01/2017</v>
      </c>
      <c r="D7" s="77"/>
      <c r="E7" s="77"/>
      <c r="F7" s="77"/>
      <c r="G7" s="16" t="str">
        <f>VLOOKUP(B7,ORCAMENTO!B:L,6,FALSE)</f>
        <v>M3</v>
      </c>
      <c r="H7" s="78">
        <f>SUMIF(ORCAMENTO!B:B,'QUAL. TEC.'!B7,ORCAMENTO!H:H)*0.3</f>
        <v>3.0960000000000001</v>
      </c>
      <c r="I7" s="93"/>
      <c r="J7" s="93"/>
      <c r="K7" s="93"/>
      <c r="L7" s="93"/>
      <c r="M7" s="93"/>
      <c r="N7" s="79"/>
    </row>
    <row r="8" spans="1:14" ht="60" customHeight="1" x14ac:dyDescent="0.25">
      <c r="A8" s="39">
        <v>2</v>
      </c>
      <c r="B8" s="20">
        <v>94992</v>
      </c>
      <c r="C8" s="77" t="str">
        <f>VLOOKUP(B8,ORCAMENTO!B:L,2,FALSE)</f>
        <v>EXECUÇÃO DE PASSEIO (CALÇADA) OU PISO DE CONCRETO COM CONCRETO MOLDADO IN LOCO, FEITO EM OBRA, ACABAMENTO CONVENCIONAL, ESPESSURA 6 CM, ARMADO. AF_07/2016</v>
      </c>
      <c r="D8" s="77"/>
      <c r="E8" s="77"/>
      <c r="F8" s="77"/>
      <c r="G8" s="16" t="str">
        <f>VLOOKUP(B8,ORCAMENTO!B:L,6,FALSE)</f>
        <v>M2</v>
      </c>
      <c r="H8" s="78">
        <f>SUMIF(ORCAMENTO!B:B,'QUAL. TEC.'!B8,ORCAMENTO!H:H)*0.3</f>
        <v>62.186999999999998</v>
      </c>
      <c r="I8" s="93"/>
      <c r="J8" s="93"/>
      <c r="K8" s="93"/>
      <c r="L8" s="93"/>
      <c r="M8" s="93"/>
      <c r="N8" s="79"/>
    </row>
    <row r="9" spans="1:14" ht="75" customHeight="1" x14ac:dyDescent="0.25">
      <c r="A9" s="39">
        <v>3</v>
      </c>
      <c r="B9" s="20">
        <v>87523</v>
      </c>
      <c r="C9" s="77" t="str">
        <f>VLOOKUP(B9,ORCAMENTO!B:L,2,FALSE)</f>
        <v>ALVENARIA DE VEDAÇÃO DE BLOCOS CERÂMICOS FURADOS NA HORIZONTAL DE 9X14X19CM (ESPESSURA 9CM) DE PAREDES COM ÁREA LÍQUIDA MAIOR OU IGUAL A 6M² COM VÃOS E ARGAMASSA DE ASSENTAMENTO COM PREPARO EM BETONEIRA. AF_06/2014</v>
      </c>
      <c r="D9" s="77"/>
      <c r="E9" s="77"/>
      <c r="F9" s="77"/>
      <c r="G9" s="16" t="str">
        <f>VLOOKUP(B9,ORCAMENTO!B:L,6,FALSE)</f>
        <v>M2</v>
      </c>
      <c r="H9" s="78">
        <f>SUMIF(ORCAMENTO!B:B,'QUAL. TEC.'!B9,ORCAMENTO!H:H)*0.3</f>
        <v>55.817999999999998</v>
      </c>
      <c r="I9" s="93"/>
      <c r="J9" s="93"/>
      <c r="K9" s="93"/>
      <c r="L9" s="93"/>
      <c r="M9" s="93"/>
      <c r="N9" s="79"/>
    </row>
  </sheetData>
  <sheetProtection formatCells="0" formatColumns="0" formatRows="0" insertColumns="0" insertRows="0" insertHyperlinks="0" deleteColumns="0" deleteRows="0" sort="0" autoFilter="0" pivotTables="0"/>
  <mergeCells count="11">
    <mergeCell ref="A1:N1"/>
    <mergeCell ref="A2:N2"/>
    <mergeCell ref="C6:F6"/>
    <mergeCell ref="C3:L3"/>
    <mergeCell ref="H6:N6"/>
    <mergeCell ref="H7:N7"/>
    <mergeCell ref="H8:N8"/>
    <mergeCell ref="H9:N9"/>
    <mergeCell ref="C9:F9"/>
    <mergeCell ref="C7:F7"/>
    <mergeCell ref="C8:F8"/>
  </mergeCells>
  <pageMargins left="0.7" right="0.7" top="0.75" bottom="0.75" header="0.3" footer="0.3"/>
  <pageSetup scale="5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90" zoomScaleNormal="100" zoomScaleSheetLayoutView="90" workbookViewId="0">
      <selection activeCell="J12" sqref="J12:K12"/>
    </sheetView>
  </sheetViews>
  <sheetFormatPr defaultRowHeight="15" customHeight="1" x14ac:dyDescent="0.25"/>
  <cols>
    <col min="1" max="1" width="12" style="1" customWidth="1"/>
    <col min="2" max="2" width="8" style="1" customWidth="1"/>
    <col min="3" max="3" width="4" style="1" customWidth="1"/>
    <col min="4" max="4" width="8" style="1" customWidth="1"/>
    <col min="5" max="6" width="21" style="1" customWidth="1"/>
    <col min="7" max="7" width="16" style="1" customWidth="1"/>
    <col min="8" max="8" width="8" style="1" customWidth="1"/>
    <col min="9" max="9" width="7.5703125" style="1" customWidth="1"/>
    <col min="10" max="11" width="9.5703125" style="1" customWidth="1"/>
    <col min="12" max="12" width="27.5703125" style="1" customWidth="1"/>
    <col min="13" max="13" width="28.5703125" style="1" customWidth="1"/>
    <col min="14" max="14" width="8" style="1" customWidth="1"/>
    <col min="15" max="16384" width="9.140625" style="1"/>
  </cols>
  <sheetData>
    <row r="1" spans="1:14" ht="15" customHeight="1" x14ac:dyDescent="0.25">
      <c r="A1" s="52" t="str">
        <f>CIDADE</f>
        <v>MUNICÍPIO DE PICOS - PI</v>
      </c>
      <c r="B1" s="52"/>
      <c r="C1" s="52"/>
      <c r="D1" s="52"/>
      <c r="E1" s="52"/>
      <c r="F1" s="52"/>
      <c r="G1" s="52"/>
      <c r="H1" s="52"/>
      <c r="I1" s="52"/>
      <c r="J1" s="52"/>
      <c r="K1" s="52"/>
    </row>
    <row r="2" spans="1:14" ht="15" customHeight="1" x14ac:dyDescent="0.25">
      <c r="A2" s="52" t="str">
        <f>OBRA</f>
        <v>AMPLIAÇÃO ANTIGO PRÉDIO IAPEP PICOS</v>
      </c>
      <c r="B2" s="52"/>
      <c r="C2" s="52"/>
      <c r="D2" s="52"/>
      <c r="E2" s="52"/>
      <c r="F2" s="52"/>
      <c r="G2" s="52"/>
      <c r="H2" s="52"/>
      <c r="I2" s="52"/>
      <c r="J2" s="52"/>
      <c r="K2" s="52"/>
    </row>
    <row r="3" spans="1:14" ht="15" customHeight="1" x14ac:dyDescent="0.25">
      <c r="A3" s="52" t="s">
        <v>856</v>
      </c>
      <c r="B3" s="52"/>
      <c r="C3" s="52"/>
      <c r="D3" s="52"/>
      <c r="E3" s="52"/>
      <c r="F3" s="52"/>
      <c r="G3" s="52"/>
      <c r="H3" s="52"/>
      <c r="I3" s="52"/>
      <c r="J3" s="52"/>
      <c r="K3" s="52"/>
    </row>
    <row r="4" spans="1:14" ht="15" customHeight="1" x14ac:dyDescent="0.25">
      <c r="A4" s="3"/>
      <c r="B4" s="3"/>
      <c r="C4" s="3"/>
      <c r="D4" s="3"/>
      <c r="E4" s="3"/>
      <c r="F4" s="3"/>
      <c r="G4" s="3"/>
      <c r="H4" s="3"/>
      <c r="I4" s="3"/>
      <c r="J4" s="3"/>
      <c r="K4" s="3"/>
    </row>
    <row r="5" spans="1:14" ht="15" customHeight="1" x14ac:dyDescent="0.25">
      <c r="A5" s="2" t="s">
        <v>3</v>
      </c>
      <c r="B5" s="4" t="str">
        <f>FONTE&amp;ONERA</f>
        <v>SINAPI PI-06/2021, SEINFRA 27, ORSE-06/2021, SEM DESONERAÇÃO</v>
      </c>
      <c r="C5" s="2"/>
      <c r="D5" s="2"/>
      <c r="E5" s="2"/>
      <c r="F5" s="3"/>
      <c r="G5" s="2" t="s">
        <v>5</v>
      </c>
      <c r="H5" s="5">
        <f>LEI</f>
        <v>112.14999999999999</v>
      </c>
      <c r="I5" s="3"/>
      <c r="J5" s="2" t="s">
        <v>6</v>
      </c>
      <c r="K5" s="5">
        <f>BDI</f>
        <v>20.8</v>
      </c>
    </row>
    <row r="6" spans="1:14" ht="15" customHeight="1" x14ac:dyDescent="0.25">
      <c r="A6" s="49" t="s">
        <v>19</v>
      </c>
      <c r="B6" s="51"/>
      <c r="C6" s="49" t="s">
        <v>7</v>
      </c>
      <c r="D6" s="50"/>
      <c r="E6" s="50"/>
      <c r="F6" s="50"/>
      <c r="G6" s="50"/>
      <c r="H6" s="50"/>
      <c r="I6" s="51"/>
      <c r="J6" s="49" t="s">
        <v>20</v>
      </c>
      <c r="K6" s="51"/>
      <c r="L6" s="34" t="s">
        <v>857</v>
      </c>
    </row>
    <row r="7" spans="1:14" ht="15" customHeight="1" x14ac:dyDescent="0.25">
      <c r="A7" s="107" t="s">
        <v>858</v>
      </c>
      <c r="B7" s="108"/>
      <c r="C7" s="109" t="s">
        <v>859</v>
      </c>
      <c r="D7" s="110"/>
      <c r="E7" s="110"/>
      <c r="F7" s="110"/>
      <c r="G7" s="110"/>
      <c r="H7" s="110"/>
      <c r="I7" s="111"/>
      <c r="J7" s="112">
        <v>0.03</v>
      </c>
      <c r="K7" s="113"/>
      <c r="L7" s="34" t="s">
        <v>860</v>
      </c>
    </row>
    <row r="8" spans="1:14" ht="15" customHeight="1" x14ac:dyDescent="0.25">
      <c r="A8" s="107" t="s">
        <v>861</v>
      </c>
      <c r="B8" s="108"/>
      <c r="C8" s="109" t="s">
        <v>862</v>
      </c>
      <c r="D8" s="110"/>
      <c r="E8" s="110"/>
      <c r="F8" s="110"/>
      <c r="G8" s="110"/>
      <c r="H8" s="110"/>
      <c r="I8" s="111"/>
      <c r="J8" s="112">
        <v>8.0000000000000002E-3</v>
      </c>
      <c r="K8" s="113"/>
      <c r="L8" s="34" t="s">
        <v>863</v>
      </c>
    </row>
    <row r="9" spans="1:14" ht="15" customHeight="1" x14ac:dyDescent="0.25">
      <c r="A9" s="107" t="s">
        <v>864</v>
      </c>
      <c r="B9" s="108"/>
      <c r="C9" s="109" t="s">
        <v>865</v>
      </c>
      <c r="D9" s="110"/>
      <c r="E9" s="110"/>
      <c r="F9" s="110"/>
      <c r="G9" s="110"/>
      <c r="H9" s="110"/>
      <c r="I9" s="111"/>
      <c r="J9" s="112">
        <v>9.7000000000000003E-3</v>
      </c>
      <c r="K9" s="113"/>
      <c r="L9" s="34" t="s">
        <v>866</v>
      </c>
    </row>
    <row r="10" spans="1:14" ht="15" customHeight="1" x14ac:dyDescent="0.25">
      <c r="A10" s="107" t="s">
        <v>867</v>
      </c>
      <c r="B10" s="108"/>
      <c r="C10" s="109" t="s">
        <v>868</v>
      </c>
      <c r="D10" s="110"/>
      <c r="E10" s="110"/>
      <c r="F10" s="110"/>
      <c r="G10" s="110"/>
      <c r="H10" s="110"/>
      <c r="I10" s="111"/>
      <c r="J10" s="112">
        <v>5.8999999999999999E-3</v>
      </c>
      <c r="K10" s="113"/>
      <c r="L10" s="34" t="s">
        <v>869</v>
      </c>
    </row>
    <row r="11" spans="1:14" ht="15" customHeight="1" x14ac:dyDescent="0.25">
      <c r="A11" s="107" t="s">
        <v>870</v>
      </c>
      <c r="B11" s="108"/>
      <c r="C11" s="109" t="s">
        <v>871</v>
      </c>
      <c r="D11" s="110"/>
      <c r="E11" s="110"/>
      <c r="F11" s="110"/>
      <c r="G11" s="110"/>
      <c r="H11" s="110"/>
      <c r="I11" s="111"/>
      <c r="J11" s="112">
        <v>7.0000000000000007E-2</v>
      </c>
      <c r="K11" s="113"/>
      <c r="L11" s="34" t="s">
        <v>872</v>
      </c>
    </row>
    <row r="12" spans="1:14" ht="15" customHeight="1" x14ac:dyDescent="0.25">
      <c r="A12" s="107" t="s">
        <v>873</v>
      </c>
      <c r="B12" s="108"/>
      <c r="C12" s="109" t="s">
        <v>874</v>
      </c>
      <c r="D12" s="110"/>
      <c r="E12" s="110"/>
      <c r="F12" s="110"/>
      <c r="G12" s="110"/>
      <c r="H12" s="110"/>
      <c r="I12" s="111"/>
      <c r="J12" s="112">
        <f>SUM(J13:K16)</f>
        <v>6.6500000000000004E-2</v>
      </c>
      <c r="K12" s="113"/>
      <c r="L12" s="34" t="s">
        <v>875</v>
      </c>
    </row>
    <row r="13" spans="1:14" ht="15" customHeight="1" x14ac:dyDescent="0.25">
      <c r="A13" s="107" t="s">
        <v>876</v>
      </c>
      <c r="B13" s="108"/>
      <c r="C13" s="109" t="s">
        <v>877</v>
      </c>
      <c r="D13" s="110"/>
      <c r="E13" s="110"/>
      <c r="F13" s="110"/>
      <c r="G13" s="110"/>
      <c r="H13" s="110"/>
      <c r="I13" s="111"/>
      <c r="J13" s="112">
        <v>6.4999999999999997E-3</v>
      </c>
      <c r="K13" s="113"/>
      <c r="L13" s="34" t="s">
        <v>875</v>
      </c>
    </row>
    <row r="14" spans="1:14" ht="15" customHeight="1" x14ac:dyDescent="0.25">
      <c r="A14" s="107" t="s">
        <v>878</v>
      </c>
      <c r="B14" s="108"/>
      <c r="C14" s="109" t="s">
        <v>879</v>
      </c>
      <c r="D14" s="110"/>
      <c r="E14" s="110"/>
      <c r="F14" s="110"/>
      <c r="G14" s="110"/>
      <c r="H14" s="110"/>
      <c r="I14" s="111"/>
      <c r="J14" s="112">
        <v>0.03</v>
      </c>
      <c r="K14" s="113"/>
      <c r="L14" s="34" t="s">
        <v>875</v>
      </c>
    </row>
    <row r="15" spans="1:14" ht="15" customHeight="1" x14ac:dyDescent="0.25">
      <c r="A15" s="107" t="s">
        <v>880</v>
      </c>
      <c r="B15" s="108"/>
      <c r="C15" s="109" t="str">
        <f>"IMPOSTO SOBRE SERVIÇOS DE QUALQUER NATUREZA ("&amp;N15*100&amp;"% x "&amp;N16*100&amp;"%)"</f>
        <v>IMPOSTO SOBRE SERVIÇOS DE QUALQUER NATUREZA (5% x 60%)</v>
      </c>
      <c r="D15" s="110"/>
      <c r="E15" s="110"/>
      <c r="F15" s="110"/>
      <c r="G15" s="110"/>
      <c r="H15" s="110"/>
      <c r="I15" s="111"/>
      <c r="J15" s="112">
        <f>ROUND(N15*N16,4)</f>
        <v>0.03</v>
      </c>
      <c r="K15" s="113"/>
      <c r="L15" s="34" t="s">
        <v>881</v>
      </c>
      <c r="M15" s="36" t="s">
        <v>882</v>
      </c>
      <c r="N15" s="37">
        <v>0.05</v>
      </c>
    </row>
    <row r="16" spans="1:14" ht="15" customHeight="1" x14ac:dyDescent="0.25">
      <c r="A16" s="107" t="s">
        <v>883</v>
      </c>
      <c r="B16" s="108"/>
      <c r="C16" s="109" t="s">
        <v>884</v>
      </c>
      <c r="D16" s="110"/>
      <c r="E16" s="110"/>
      <c r="F16" s="110"/>
      <c r="G16" s="110"/>
      <c r="H16" s="110"/>
      <c r="I16" s="111"/>
      <c r="J16" s="112">
        <f>IF(ONERA="COM DESONERAÇÃO",0.045,0)</f>
        <v>0</v>
      </c>
      <c r="K16" s="113"/>
      <c r="L16" s="34" t="s">
        <v>875</v>
      </c>
      <c r="M16" s="36" t="s">
        <v>885</v>
      </c>
      <c r="N16" s="37">
        <v>0.6</v>
      </c>
    </row>
    <row r="17" spans="1:12" ht="15" customHeight="1" x14ac:dyDescent="0.25">
      <c r="A17" s="49" t="s">
        <v>886</v>
      </c>
      <c r="B17" s="51"/>
      <c r="C17" s="49" t="s">
        <v>887</v>
      </c>
      <c r="D17" s="50"/>
      <c r="E17" s="50"/>
      <c r="F17" s="50"/>
      <c r="G17" s="50"/>
      <c r="H17" s="50"/>
      <c r="I17" s="51"/>
      <c r="J17" s="103">
        <f>ROUND((((1+J7+J8+J9)*(1+J10)*(1+J11))/(1-J12))-1,4)</f>
        <v>0.20799999999999999</v>
      </c>
      <c r="K17" s="104"/>
      <c r="L17" s="34" t="s">
        <v>888</v>
      </c>
    </row>
    <row r="18" spans="1:12" ht="15" customHeight="1" x14ac:dyDescent="0.25">
      <c r="A18" s="3"/>
      <c r="B18" s="3"/>
      <c r="C18" s="3"/>
      <c r="D18" s="3"/>
      <c r="E18" s="3"/>
      <c r="F18" s="3"/>
      <c r="G18" s="3"/>
      <c r="H18" s="3"/>
      <c r="I18" s="3"/>
      <c r="J18" s="3"/>
      <c r="K18" s="3"/>
    </row>
    <row r="19" spans="1:12" ht="50.1" customHeight="1" x14ac:dyDescent="0.25">
      <c r="A19" s="105" t="s">
        <v>889</v>
      </c>
      <c r="B19" s="105"/>
      <c r="C19" s="105"/>
      <c r="D19" s="105"/>
      <c r="E19" s="105"/>
      <c r="F19" s="105"/>
      <c r="G19" s="105"/>
      <c r="H19" s="105"/>
      <c r="I19" s="105"/>
      <c r="J19" s="105"/>
      <c r="K19" s="105"/>
    </row>
    <row r="20" spans="1:12" ht="15" customHeight="1" x14ac:dyDescent="0.25">
      <c r="A20" s="106" t="s">
        <v>890</v>
      </c>
      <c r="B20" s="106"/>
      <c r="C20" s="106"/>
      <c r="D20" s="106"/>
      <c r="E20" s="106"/>
      <c r="F20" s="106"/>
      <c r="G20" s="106"/>
      <c r="H20" s="106"/>
      <c r="I20" s="106"/>
      <c r="J20" s="106"/>
      <c r="K20" s="106"/>
    </row>
    <row r="21" spans="1:12" ht="15" customHeight="1" x14ac:dyDescent="0.25">
      <c r="A21" s="49" t="s">
        <v>891</v>
      </c>
      <c r="B21" s="50"/>
      <c r="C21" s="50"/>
      <c r="D21" s="50"/>
      <c r="E21" s="50"/>
      <c r="F21" s="50"/>
      <c r="G21" s="50"/>
      <c r="H21" s="50"/>
      <c r="I21" s="50"/>
      <c r="J21" s="50"/>
      <c r="K21" s="51"/>
    </row>
    <row r="22" spans="1:12" ht="15" customHeight="1" x14ac:dyDescent="0.25">
      <c r="A22" s="94" t="s">
        <v>892</v>
      </c>
      <c r="B22" s="95"/>
      <c r="C22" s="95"/>
      <c r="D22" s="95"/>
      <c r="E22" s="95"/>
      <c r="F22" s="95"/>
      <c r="G22" s="95"/>
      <c r="H22" s="95"/>
      <c r="I22" s="95"/>
      <c r="J22" s="95"/>
      <c r="K22" s="96"/>
    </row>
    <row r="23" spans="1:12" ht="15" customHeight="1" x14ac:dyDescent="0.25">
      <c r="A23" s="97"/>
      <c r="B23" s="98"/>
      <c r="C23" s="98"/>
      <c r="D23" s="98"/>
      <c r="E23" s="98"/>
      <c r="F23" s="98"/>
      <c r="G23" s="98"/>
      <c r="H23" s="98"/>
      <c r="I23" s="98"/>
      <c r="J23" s="98"/>
      <c r="K23" s="99"/>
    </row>
    <row r="24" spans="1:12" ht="15" customHeight="1" x14ac:dyDescent="0.25">
      <c r="A24" s="100"/>
      <c r="B24" s="101"/>
      <c r="C24" s="101"/>
      <c r="D24" s="101"/>
      <c r="E24" s="101"/>
      <c r="F24" s="101"/>
      <c r="G24" s="101"/>
      <c r="H24" s="101"/>
      <c r="I24" s="101"/>
      <c r="J24" s="101"/>
      <c r="K24" s="102"/>
    </row>
    <row r="25" spans="1:12" ht="15" customHeight="1" x14ac:dyDescent="0.25">
      <c r="A25" s="94" t="s">
        <v>893</v>
      </c>
      <c r="B25" s="95"/>
      <c r="C25" s="95"/>
      <c r="D25" s="95"/>
      <c r="E25" s="95"/>
      <c r="F25" s="95"/>
      <c r="G25" s="95"/>
      <c r="H25" s="95"/>
      <c r="I25" s="95"/>
      <c r="J25" s="95"/>
      <c r="K25" s="96"/>
    </row>
    <row r="26" spans="1:12" ht="15" customHeight="1" x14ac:dyDescent="0.25">
      <c r="A26" s="97"/>
      <c r="B26" s="98"/>
      <c r="C26" s="98"/>
      <c r="D26" s="98"/>
      <c r="E26" s="98"/>
      <c r="F26" s="98"/>
      <c r="G26" s="98"/>
      <c r="H26" s="98"/>
      <c r="I26" s="98"/>
      <c r="J26" s="98"/>
      <c r="K26" s="99"/>
    </row>
    <row r="27" spans="1:12" ht="15" customHeight="1" x14ac:dyDescent="0.25">
      <c r="A27" s="100"/>
      <c r="B27" s="101"/>
      <c r="C27" s="101"/>
      <c r="D27" s="101"/>
      <c r="E27" s="101"/>
      <c r="F27" s="101"/>
      <c r="G27" s="101"/>
      <c r="H27" s="101"/>
      <c r="I27" s="101"/>
      <c r="J27" s="101"/>
      <c r="K27" s="102"/>
    </row>
    <row r="28" spans="1:12" ht="15" customHeight="1" x14ac:dyDescent="0.25">
      <c r="A28" s="94" t="s">
        <v>894</v>
      </c>
      <c r="B28" s="95"/>
      <c r="C28" s="95"/>
      <c r="D28" s="95"/>
      <c r="E28" s="95"/>
      <c r="F28" s="95"/>
      <c r="G28" s="95"/>
      <c r="H28" s="95"/>
      <c r="I28" s="95"/>
      <c r="J28" s="95"/>
      <c r="K28" s="96"/>
    </row>
    <row r="29" spans="1:12" ht="15" customHeight="1" x14ac:dyDescent="0.25">
      <c r="A29" s="97"/>
      <c r="B29" s="98"/>
      <c r="C29" s="98"/>
      <c r="D29" s="98"/>
      <c r="E29" s="98"/>
      <c r="F29" s="98"/>
      <c r="G29" s="98"/>
      <c r="H29" s="98"/>
      <c r="I29" s="98"/>
      <c r="J29" s="98"/>
      <c r="K29" s="99"/>
    </row>
    <row r="30" spans="1:12" ht="15" customHeight="1" x14ac:dyDescent="0.25">
      <c r="A30" s="97"/>
      <c r="B30" s="98"/>
      <c r="C30" s="98"/>
      <c r="D30" s="98"/>
      <c r="E30" s="98"/>
      <c r="F30" s="98"/>
      <c r="G30" s="98"/>
      <c r="H30" s="98"/>
      <c r="I30" s="98"/>
      <c r="J30" s="98"/>
      <c r="K30" s="99"/>
    </row>
    <row r="31" spans="1:12" ht="15" customHeight="1" x14ac:dyDescent="0.25">
      <c r="A31" s="97"/>
      <c r="B31" s="98"/>
      <c r="C31" s="98"/>
      <c r="D31" s="98"/>
      <c r="E31" s="98"/>
      <c r="F31" s="98"/>
      <c r="G31" s="98"/>
      <c r="H31" s="98"/>
      <c r="I31" s="98"/>
      <c r="J31" s="98"/>
      <c r="K31" s="99"/>
    </row>
    <row r="32" spans="1:12" ht="15" customHeight="1" x14ac:dyDescent="0.25">
      <c r="A32" s="97"/>
      <c r="B32" s="98"/>
      <c r="C32" s="98"/>
      <c r="D32" s="98"/>
      <c r="E32" s="98"/>
      <c r="F32" s="98"/>
      <c r="G32" s="98"/>
      <c r="H32" s="98"/>
      <c r="I32" s="98"/>
      <c r="J32" s="98"/>
      <c r="K32" s="99"/>
    </row>
    <row r="33" spans="1:11" ht="15" customHeight="1" x14ac:dyDescent="0.25">
      <c r="A33" s="97"/>
      <c r="B33" s="98"/>
      <c r="C33" s="98"/>
      <c r="D33" s="98"/>
      <c r="E33" s="98"/>
      <c r="F33" s="98"/>
      <c r="G33" s="98"/>
      <c r="H33" s="98"/>
      <c r="I33" s="98"/>
      <c r="J33" s="98"/>
      <c r="K33" s="99"/>
    </row>
    <row r="34" spans="1:11" ht="15" customHeight="1" x14ac:dyDescent="0.25">
      <c r="A34" s="97"/>
      <c r="B34" s="98"/>
      <c r="C34" s="98"/>
      <c r="D34" s="98"/>
      <c r="E34" s="98"/>
      <c r="F34" s="98"/>
      <c r="G34" s="98"/>
      <c r="H34" s="98"/>
      <c r="I34" s="98"/>
      <c r="J34" s="98"/>
      <c r="K34" s="99"/>
    </row>
    <row r="35" spans="1:11" ht="15" customHeight="1" x14ac:dyDescent="0.25">
      <c r="A35" s="97"/>
      <c r="B35" s="98"/>
      <c r="C35" s="98"/>
      <c r="D35" s="98"/>
      <c r="E35" s="98"/>
      <c r="F35" s="98"/>
      <c r="G35" s="98"/>
      <c r="H35" s="98"/>
      <c r="I35" s="98"/>
      <c r="J35" s="98"/>
      <c r="K35" s="99"/>
    </row>
    <row r="36" spans="1:11" ht="15" customHeight="1" x14ac:dyDescent="0.25">
      <c r="A36" s="97"/>
      <c r="B36" s="98"/>
      <c r="C36" s="98"/>
      <c r="D36" s="98"/>
      <c r="E36" s="98"/>
      <c r="F36" s="98"/>
      <c r="G36" s="98"/>
      <c r="H36" s="98"/>
      <c r="I36" s="98"/>
      <c r="J36" s="98"/>
      <c r="K36" s="99"/>
    </row>
    <row r="37" spans="1:11" ht="15" customHeight="1" x14ac:dyDescent="0.25">
      <c r="A37" s="97"/>
      <c r="B37" s="98"/>
      <c r="C37" s="98"/>
      <c r="D37" s="98"/>
      <c r="E37" s="98"/>
      <c r="F37" s="98"/>
      <c r="G37" s="98"/>
      <c r="H37" s="98"/>
      <c r="I37" s="98"/>
      <c r="J37" s="98"/>
      <c r="K37" s="99"/>
    </row>
    <row r="38" spans="1:11" ht="15" customHeight="1" x14ac:dyDescent="0.25">
      <c r="A38" s="100"/>
      <c r="B38" s="101"/>
      <c r="C38" s="101"/>
      <c r="D38" s="101"/>
      <c r="E38" s="101"/>
      <c r="F38" s="101"/>
      <c r="G38" s="101"/>
      <c r="H38" s="101"/>
      <c r="I38" s="101"/>
      <c r="J38" s="101"/>
      <c r="K38" s="102"/>
    </row>
  </sheetData>
  <sheetProtection formatCells="0" formatColumns="0" formatRows="0" insertColumns="0" insertRows="0" insertHyperlinks="0" deleteColumns="0" deleteRows="0" sort="0" autoFilter="0" pivotTables="0"/>
  <mergeCells count="45">
    <mergeCell ref="A1:K1"/>
    <mergeCell ref="A2:K2"/>
    <mergeCell ref="A3:K3"/>
    <mergeCell ref="A6:B6"/>
    <mergeCell ref="C6:I6"/>
    <mergeCell ref="J6:K6"/>
    <mergeCell ref="A7:B7"/>
    <mergeCell ref="C7:I7"/>
    <mergeCell ref="J7:K7"/>
    <mergeCell ref="A8:B8"/>
    <mergeCell ref="C8:I8"/>
    <mergeCell ref="J8:K8"/>
    <mergeCell ref="A9:B9"/>
    <mergeCell ref="C9:I9"/>
    <mergeCell ref="J9:K9"/>
    <mergeCell ref="A10:B10"/>
    <mergeCell ref="C10:I10"/>
    <mergeCell ref="J10:K10"/>
    <mergeCell ref="A11:B11"/>
    <mergeCell ref="C11:I11"/>
    <mergeCell ref="J11:K11"/>
    <mergeCell ref="A12:B12"/>
    <mergeCell ref="C12:I12"/>
    <mergeCell ref="J12:K12"/>
    <mergeCell ref="A13:B13"/>
    <mergeCell ref="C13:I13"/>
    <mergeCell ref="J13:K13"/>
    <mergeCell ref="A14:B14"/>
    <mergeCell ref="C14:I14"/>
    <mergeCell ref="J14:K14"/>
    <mergeCell ref="A15:B15"/>
    <mergeCell ref="C15:I15"/>
    <mergeCell ref="J15:K15"/>
    <mergeCell ref="A16:B16"/>
    <mergeCell ref="C16:I16"/>
    <mergeCell ref="J16:K16"/>
    <mergeCell ref="A22:K24"/>
    <mergeCell ref="A25:K27"/>
    <mergeCell ref="A28:K38"/>
    <mergeCell ref="A17:B17"/>
    <mergeCell ref="C17:I17"/>
    <mergeCell ref="J17:K17"/>
    <mergeCell ref="A19:K19"/>
    <mergeCell ref="A20:K20"/>
    <mergeCell ref="A21:K21"/>
  </mergeCells>
  <pageMargins left="0.7" right="0.7" top="0.75" bottom="0.75" header="0.3" footer="0.3"/>
  <pageSetup scale="7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BreakPreview" zoomScale="90" zoomScaleNormal="100" zoomScaleSheetLayoutView="90" workbookViewId="0">
      <selection activeCell="N19" sqref="N19"/>
    </sheetView>
  </sheetViews>
  <sheetFormatPr defaultRowHeight="15" customHeight="1" x14ac:dyDescent="0.25"/>
  <cols>
    <col min="1" max="1" width="12" style="2" customWidth="1"/>
    <col min="2" max="2" width="8" style="2" customWidth="1"/>
    <col min="3" max="3" width="4" style="2" customWidth="1"/>
    <col min="4" max="4" width="8" style="2" customWidth="1"/>
    <col min="5" max="6" width="21" style="2" customWidth="1"/>
    <col min="7" max="10" width="17" style="2" customWidth="1"/>
    <col min="11" max="16384" width="9.140625" style="2"/>
  </cols>
  <sheetData>
    <row r="1" spans="1:10" ht="15" customHeight="1" x14ac:dyDescent="0.25">
      <c r="A1" s="52" t="str">
        <f>CIDADE</f>
        <v>MUNICÍPIO DE PICOS - PI</v>
      </c>
      <c r="B1" s="52"/>
      <c r="C1" s="52"/>
      <c r="D1" s="52"/>
      <c r="E1" s="52"/>
      <c r="F1" s="52"/>
      <c r="G1" s="52"/>
      <c r="H1" s="52"/>
      <c r="I1" s="52"/>
      <c r="J1" s="52"/>
    </row>
    <row r="2" spans="1:10" ht="15" customHeight="1" x14ac:dyDescent="0.25">
      <c r="A2" s="52" t="str">
        <f>OBRA</f>
        <v>AMPLIAÇÃO ANTIGO PRÉDIO IAPEP PICOS</v>
      </c>
      <c r="B2" s="52"/>
      <c r="C2" s="52"/>
      <c r="D2" s="52"/>
      <c r="E2" s="52"/>
      <c r="F2" s="52"/>
      <c r="G2" s="52"/>
      <c r="H2" s="52"/>
      <c r="I2" s="52"/>
      <c r="J2" s="52"/>
    </row>
    <row r="3" spans="1:10" ht="15" customHeight="1" x14ac:dyDescent="0.25">
      <c r="A3" s="52" t="s">
        <v>895</v>
      </c>
      <c r="B3" s="52"/>
      <c r="C3" s="52"/>
      <c r="D3" s="52"/>
      <c r="E3" s="52"/>
      <c r="F3" s="52"/>
      <c r="G3" s="52"/>
      <c r="H3" s="52"/>
      <c r="I3" s="52"/>
      <c r="J3" s="52"/>
    </row>
    <row r="4" spans="1:10" ht="15" customHeight="1" x14ac:dyDescent="0.25">
      <c r="A4" s="5"/>
      <c r="B4" s="5"/>
      <c r="C4" s="5"/>
      <c r="D4" s="5"/>
      <c r="E4" s="5"/>
      <c r="F4" s="5"/>
      <c r="G4" s="5"/>
      <c r="H4" s="5"/>
      <c r="I4" s="5"/>
      <c r="J4" s="5"/>
    </row>
    <row r="5" spans="1:10" ht="15" customHeight="1" x14ac:dyDescent="0.25">
      <c r="A5" s="2" t="s">
        <v>3</v>
      </c>
      <c r="B5" s="4" t="str">
        <f>FONTE&amp;ONERA</f>
        <v>SINAPI PI-06/2021, SEINFRA 27, ORSE-06/2021, SEM DESONERAÇÃO</v>
      </c>
      <c r="F5" s="5"/>
      <c r="G5" s="2" t="s">
        <v>5</v>
      </c>
      <c r="H5" s="5">
        <f>LEI</f>
        <v>112.14999999999999</v>
      </c>
      <c r="I5" s="2" t="s">
        <v>6</v>
      </c>
      <c r="J5" s="5">
        <f>BDI</f>
        <v>20.8</v>
      </c>
    </row>
    <row r="6" spans="1:10" ht="15" customHeight="1" x14ac:dyDescent="0.25">
      <c r="A6" s="116" t="s">
        <v>31</v>
      </c>
      <c r="B6" s="117"/>
      <c r="C6" s="116" t="s">
        <v>7</v>
      </c>
      <c r="D6" s="120"/>
      <c r="E6" s="120"/>
      <c r="F6" s="117"/>
      <c r="G6" s="49" t="s">
        <v>4</v>
      </c>
      <c r="H6" s="51"/>
      <c r="I6" s="49" t="s">
        <v>896</v>
      </c>
      <c r="J6" s="51"/>
    </row>
    <row r="7" spans="1:10" ht="15" customHeight="1" x14ac:dyDescent="0.25">
      <c r="A7" s="118"/>
      <c r="B7" s="119"/>
      <c r="C7" s="118"/>
      <c r="D7" s="90"/>
      <c r="E7" s="90"/>
      <c r="F7" s="119"/>
      <c r="G7" s="6" t="s">
        <v>897</v>
      </c>
      <c r="H7" s="6" t="s">
        <v>898</v>
      </c>
      <c r="I7" s="6" t="s">
        <v>897</v>
      </c>
      <c r="J7" s="6" t="s">
        <v>898</v>
      </c>
    </row>
    <row r="8" spans="1:10" ht="15" customHeight="1" x14ac:dyDescent="0.25">
      <c r="A8" s="49" t="s">
        <v>899</v>
      </c>
      <c r="B8" s="50"/>
      <c r="C8" s="50"/>
      <c r="D8" s="50"/>
      <c r="E8" s="50"/>
      <c r="F8" s="50"/>
      <c r="G8" s="50"/>
      <c r="H8" s="50"/>
      <c r="I8" s="50"/>
      <c r="J8" s="51"/>
    </row>
    <row r="9" spans="1:10" ht="15" customHeight="1" x14ac:dyDescent="0.25">
      <c r="A9" s="107" t="s">
        <v>900</v>
      </c>
      <c r="B9" s="108"/>
      <c r="C9" s="107" t="s">
        <v>901</v>
      </c>
      <c r="D9" s="115"/>
      <c r="E9" s="115"/>
      <c r="F9" s="108"/>
      <c r="G9" s="12">
        <v>0</v>
      </c>
      <c r="H9" s="12">
        <v>0</v>
      </c>
      <c r="I9" s="12">
        <v>0.2</v>
      </c>
      <c r="J9" s="12">
        <v>0.2</v>
      </c>
    </row>
    <row r="10" spans="1:10" ht="15" customHeight="1" x14ac:dyDescent="0.25">
      <c r="A10" s="107" t="s">
        <v>902</v>
      </c>
      <c r="B10" s="108"/>
      <c r="C10" s="107" t="s">
        <v>903</v>
      </c>
      <c r="D10" s="115"/>
      <c r="E10" s="115"/>
      <c r="F10" s="108"/>
      <c r="G10" s="12">
        <v>1.4999999999999999E-2</v>
      </c>
      <c r="H10" s="12">
        <v>1.4999999999999999E-2</v>
      </c>
      <c r="I10" s="12">
        <v>1.4999999999999999E-2</v>
      </c>
      <c r="J10" s="12">
        <v>1.4999999999999999E-2</v>
      </c>
    </row>
    <row r="11" spans="1:10" ht="15" customHeight="1" x14ac:dyDescent="0.25">
      <c r="A11" s="107" t="s">
        <v>904</v>
      </c>
      <c r="B11" s="108"/>
      <c r="C11" s="107" t="s">
        <v>905</v>
      </c>
      <c r="D11" s="115"/>
      <c r="E11" s="115"/>
      <c r="F11" s="108"/>
      <c r="G11" s="12">
        <v>0.01</v>
      </c>
      <c r="H11" s="12">
        <v>0.01</v>
      </c>
      <c r="I11" s="12">
        <v>0.01</v>
      </c>
      <c r="J11" s="12">
        <v>0.01</v>
      </c>
    </row>
    <row r="12" spans="1:10" ht="15" customHeight="1" x14ac:dyDescent="0.25">
      <c r="A12" s="107" t="s">
        <v>906</v>
      </c>
      <c r="B12" s="108"/>
      <c r="C12" s="107" t="s">
        <v>907</v>
      </c>
      <c r="D12" s="115"/>
      <c r="E12" s="115"/>
      <c r="F12" s="108"/>
      <c r="G12" s="12">
        <v>2E-3</v>
      </c>
      <c r="H12" s="12">
        <v>2E-3</v>
      </c>
      <c r="I12" s="12">
        <v>2E-3</v>
      </c>
      <c r="J12" s="12">
        <v>2E-3</v>
      </c>
    </row>
    <row r="13" spans="1:10" ht="15" customHeight="1" x14ac:dyDescent="0.25">
      <c r="A13" s="107" t="s">
        <v>908</v>
      </c>
      <c r="B13" s="108"/>
      <c r="C13" s="107" t="s">
        <v>909</v>
      </c>
      <c r="D13" s="115"/>
      <c r="E13" s="115"/>
      <c r="F13" s="108"/>
      <c r="G13" s="12">
        <v>6.0000000000000001E-3</v>
      </c>
      <c r="H13" s="12">
        <v>6.0000000000000001E-3</v>
      </c>
      <c r="I13" s="12">
        <v>6.0000000000000001E-3</v>
      </c>
      <c r="J13" s="12">
        <v>6.0000000000000001E-3</v>
      </c>
    </row>
    <row r="14" spans="1:10" ht="15" customHeight="1" x14ac:dyDescent="0.25">
      <c r="A14" s="107" t="s">
        <v>910</v>
      </c>
      <c r="B14" s="108"/>
      <c r="C14" s="107" t="s">
        <v>911</v>
      </c>
      <c r="D14" s="115"/>
      <c r="E14" s="115"/>
      <c r="F14" s="108"/>
      <c r="G14" s="12">
        <v>2.5000000000000001E-2</v>
      </c>
      <c r="H14" s="12">
        <v>2.5000000000000001E-2</v>
      </c>
      <c r="I14" s="12">
        <v>2.5000000000000001E-2</v>
      </c>
      <c r="J14" s="12">
        <v>2.5000000000000001E-2</v>
      </c>
    </row>
    <row r="15" spans="1:10" ht="15" customHeight="1" x14ac:dyDescent="0.25">
      <c r="A15" s="107" t="s">
        <v>912</v>
      </c>
      <c r="B15" s="108"/>
      <c r="C15" s="107" t="s">
        <v>913</v>
      </c>
      <c r="D15" s="115"/>
      <c r="E15" s="115"/>
      <c r="F15" s="108"/>
      <c r="G15" s="12">
        <v>0.03</v>
      </c>
      <c r="H15" s="12">
        <v>0.03</v>
      </c>
      <c r="I15" s="12">
        <v>0.03</v>
      </c>
      <c r="J15" s="12">
        <v>0.03</v>
      </c>
    </row>
    <row r="16" spans="1:10" ht="15" customHeight="1" x14ac:dyDescent="0.25">
      <c r="A16" s="107" t="s">
        <v>914</v>
      </c>
      <c r="B16" s="108"/>
      <c r="C16" s="107" t="s">
        <v>915</v>
      </c>
      <c r="D16" s="115"/>
      <c r="E16" s="115"/>
      <c r="F16" s="108"/>
      <c r="G16" s="12">
        <v>0.08</v>
      </c>
      <c r="H16" s="12">
        <v>0.08</v>
      </c>
      <c r="I16" s="12">
        <v>0.08</v>
      </c>
      <c r="J16" s="12">
        <v>0.08</v>
      </c>
    </row>
    <row r="17" spans="1:10" ht="15" customHeight="1" x14ac:dyDescent="0.25">
      <c r="A17" s="107" t="s">
        <v>916</v>
      </c>
      <c r="B17" s="108"/>
      <c r="C17" s="107" t="s">
        <v>917</v>
      </c>
      <c r="D17" s="115"/>
      <c r="E17" s="115"/>
      <c r="F17" s="108"/>
      <c r="G17" s="12">
        <v>0</v>
      </c>
      <c r="H17" s="12">
        <v>0</v>
      </c>
      <c r="I17" s="12">
        <v>0</v>
      </c>
      <c r="J17" s="12">
        <v>0</v>
      </c>
    </row>
    <row r="18" spans="1:10" ht="15" customHeight="1" x14ac:dyDescent="0.25">
      <c r="A18" s="107" t="s">
        <v>918</v>
      </c>
      <c r="B18" s="108"/>
      <c r="C18" s="107" t="s">
        <v>21</v>
      </c>
      <c r="D18" s="115"/>
      <c r="E18" s="115"/>
      <c r="F18" s="108"/>
      <c r="G18" s="12">
        <f>SUM(G9:G17)</f>
        <v>0.16799999999999998</v>
      </c>
      <c r="H18" s="12">
        <f>SUM(H9:H17)</f>
        <v>0.16799999999999998</v>
      </c>
      <c r="I18" s="12">
        <f>SUM(I9:I17)</f>
        <v>0.36800000000000005</v>
      </c>
      <c r="J18" s="12">
        <f>SUM(J9:J17)</f>
        <v>0.36800000000000005</v>
      </c>
    </row>
    <row r="19" spans="1:10" ht="15" customHeight="1" x14ac:dyDescent="0.25">
      <c r="A19" s="49" t="s">
        <v>919</v>
      </c>
      <c r="B19" s="50"/>
      <c r="C19" s="50"/>
      <c r="D19" s="50"/>
      <c r="E19" s="50"/>
      <c r="F19" s="50"/>
      <c r="G19" s="50"/>
      <c r="H19" s="50"/>
      <c r="I19" s="50"/>
      <c r="J19" s="51"/>
    </row>
    <row r="20" spans="1:10" ht="15" customHeight="1" x14ac:dyDescent="0.25">
      <c r="A20" s="107" t="s">
        <v>920</v>
      </c>
      <c r="B20" s="108"/>
      <c r="C20" s="107" t="s">
        <v>921</v>
      </c>
      <c r="D20" s="115"/>
      <c r="E20" s="115"/>
      <c r="F20" s="108"/>
      <c r="G20" s="12">
        <v>0.1782</v>
      </c>
      <c r="H20" s="12" t="s">
        <v>922</v>
      </c>
      <c r="I20" s="12">
        <v>0.1782</v>
      </c>
      <c r="J20" s="12" t="s">
        <v>922</v>
      </c>
    </row>
    <row r="21" spans="1:10" ht="15" customHeight="1" x14ac:dyDescent="0.25">
      <c r="A21" s="107" t="s">
        <v>923</v>
      </c>
      <c r="B21" s="108"/>
      <c r="C21" s="107" t="s">
        <v>924</v>
      </c>
      <c r="D21" s="115"/>
      <c r="E21" s="115"/>
      <c r="F21" s="108"/>
      <c r="G21" s="12">
        <v>3.95E-2</v>
      </c>
      <c r="H21" s="12" t="s">
        <v>922</v>
      </c>
      <c r="I21" s="12">
        <v>3.95E-2</v>
      </c>
      <c r="J21" s="12" t="s">
        <v>922</v>
      </c>
    </row>
    <row r="22" spans="1:10" ht="15" customHeight="1" x14ac:dyDescent="0.25">
      <c r="A22" s="107" t="s">
        <v>925</v>
      </c>
      <c r="B22" s="108"/>
      <c r="C22" s="107" t="s">
        <v>926</v>
      </c>
      <c r="D22" s="115"/>
      <c r="E22" s="115"/>
      <c r="F22" s="108"/>
      <c r="G22" s="12">
        <v>8.6999999999999994E-3</v>
      </c>
      <c r="H22" s="12">
        <v>6.7000000000000002E-3</v>
      </c>
      <c r="I22" s="12">
        <v>8.6999999999999994E-3</v>
      </c>
      <c r="J22" s="12">
        <v>6.7000000000000002E-3</v>
      </c>
    </row>
    <row r="23" spans="1:10" ht="15" customHeight="1" x14ac:dyDescent="0.25">
      <c r="A23" s="107" t="s">
        <v>927</v>
      </c>
      <c r="B23" s="108"/>
      <c r="C23" s="107" t="s">
        <v>928</v>
      </c>
      <c r="D23" s="115"/>
      <c r="E23" s="115"/>
      <c r="F23" s="108"/>
      <c r="G23" s="12">
        <v>0.1076</v>
      </c>
      <c r="H23" s="12">
        <v>8.3299999999999999E-2</v>
      </c>
      <c r="I23" s="12">
        <v>0.1076</v>
      </c>
      <c r="J23" s="12">
        <v>8.3299999999999999E-2</v>
      </c>
    </row>
    <row r="24" spans="1:10" ht="15" customHeight="1" x14ac:dyDescent="0.25">
      <c r="A24" s="107" t="s">
        <v>929</v>
      </c>
      <c r="B24" s="108"/>
      <c r="C24" s="107" t="s">
        <v>930</v>
      </c>
      <c r="D24" s="115"/>
      <c r="E24" s="115"/>
      <c r="F24" s="108"/>
      <c r="G24" s="12">
        <v>6.9999999999999999E-4</v>
      </c>
      <c r="H24" s="12">
        <v>5.9999999999999995E-4</v>
      </c>
      <c r="I24" s="12">
        <v>6.9999999999999999E-4</v>
      </c>
      <c r="J24" s="12">
        <v>5.9999999999999995E-4</v>
      </c>
    </row>
    <row r="25" spans="1:10" ht="15" customHeight="1" x14ac:dyDescent="0.25">
      <c r="A25" s="107" t="s">
        <v>931</v>
      </c>
      <c r="B25" s="108"/>
      <c r="C25" s="107" t="s">
        <v>932</v>
      </c>
      <c r="D25" s="115"/>
      <c r="E25" s="115"/>
      <c r="F25" s="108"/>
      <c r="G25" s="12">
        <v>7.1999999999999998E-3</v>
      </c>
      <c r="H25" s="12">
        <v>5.5999999999999999E-3</v>
      </c>
      <c r="I25" s="12">
        <v>7.1999999999999998E-3</v>
      </c>
      <c r="J25" s="12">
        <v>5.5999999999999999E-3</v>
      </c>
    </row>
    <row r="26" spans="1:10" ht="15" customHeight="1" x14ac:dyDescent="0.25">
      <c r="A26" s="107" t="s">
        <v>933</v>
      </c>
      <c r="B26" s="108"/>
      <c r="C26" s="107" t="s">
        <v>934</v>
      </c>
      <c r="D26" s="115"/>
      <c r="E26" s="115"/>
      <c r="F26" s="108"/>
      <c r="G26" s="12">
        <v>1.1599999999999999E-2</v>
      </c>
      <c r="H26" s="12" t="s">
        <v>922</v>
      </c>
      <c r="I26" s="12">
        <v>1.1599999999999999E-2</v>
      </c>
      <c r="J26" s="12" t="s">
        <v>922</v>
      </c>
    </row>
    <row r="27" spans="1:10" ht="15" customHeight="1" x14ac:dyDescent="0.25">
      <c r="A27" s="107" t="s">
        <v>935</v>
      </c>
      <c r="B27" s="108"/>
      <c r="C27" s="107" t="s">
        <v>936</v>
      </c>
      <c r="D27" s="115"/>
      <c r="E27" s="115"/>
      <c r="F27" s="108"/>
      <c r="G27" s="12">
        <v>1.1000000000000001E-3</v>
      </c>
      <c r="H27" s="12">
        <v>8.0000000000000004E-4</v>
      </c>
      <c r="I27" s="12">
        <v>1.1000000000000001E-3</v>
      </c>
      <c r="J27" s="12">
        <v>8.0000000000000004E-4</v>
      </c>
    </row>
    <row r="28" spans="1:10" ht="15" customHeight="1" x14ac:dyDescent="0.25">
      <c r="A28" s="107" t="s">
        <v>937</v>
      </c>
      <c r="B28" s="108"/>
      <c r="C28" s="107" t="s">
        <v>938</v>
      </c>
      <c r="D28" s="115"/>
      <c r="E28" s="115"/>
      <c r="F28" s="108"/>
      <c r="G28" s="12">
        <v>8.3500000000000005E-2</v>
      </c>
      <c r="H28" s="12">
        <v>6.4699999999999994E-2</v>
      </c>
      <c r="I28" s="12">
        <v>8.3500000000000005E-2</v>
      </c>
      <c r="J28" s="12">
        <v>6.4699999999999994E-2</v>
      </c>
    </row>
    <row r="29" spans="1:10" ht="15" customHeight="1" x14ac:dyDescent="0.25">
      <c r="A29" s="107" t="s">
        <v>939</v>
      </c>
      <c r="B29" s="108"/>
      <c r="C29" s="107" t="s">
        <v>940</v>
      </c>
      <c r="D29" s="115"/>
      <c r="E29" s="115"/>
      <c r="F29" s="108"/>
      <c r="G29" s="12">
        <v>2.9999999999999997E-4</v>
      </c>
      <c r="H29" s="12">
        <v>2.9999999999999997E-4</v>
      </c>
      <c r="I29" s="12">
        <v>2.9999999999999997E-4</v>
      </c>
      <c r="J29" s="12">
        <v>2.9999999999999997E-4</v>
      </c>
    </row>
    <row r="30" spans="1:10" ht="15" customHeight="1" x14ac:dyDescent="0.25">
      <c r="A30" s="107" t="s">
        <v>941</v>
      </c>
      <c r="B30" s="108"/>
      <c r="C30" s="107" t="s">
        <v>21</v>
      </c>
      <c r="D30" s="115"/>
      <c r="E30" s="115"/>
      <c r="F30" s="108"/>
      <c r="G30" s="12">
        <f>SUM(G20:G29)</f>
        <v>0.43839999999999996</v>
      </c>
      <c r="H30" s="12">
        <f>SUM(H20:H29)</f>
        <v>0.16199999999999998</v>
      </c>
      <c r="I30" s="12">
        <f>SUM(I20:I29)</f>
        <v>0.43839999999999996</v>
      </c>
      <c r="J30" s="12">
        <f>SUM(J20:J29)</f>
        <v>0.16199999999999998</v>
      </c>
    </row>
    <row r="31" spans="1:10" ht="15" customHeight="1" x14ac:dyDescent="0.25">
      <c r="A31" s="49" t="s">
        <v>942</v>
      </c>
      <c r="B31" s="50"/>
      <c r="C31" s="50"/>
      <c r="D31" s="50"/>
      <c r="E31" s="50"/>
      <c r="F31" s="50"/>
      <c r="G31" s="50"/>
      <c r="H31" s="50"/>
      <c r="I31" s="50"/>
      <c r="J31" s="51"/>
    </row>
    <row r="32" spans="1:10" ht="15" customHeight="1" x14ac:dyDescent="0.25">
      <c r="A32" s="107" t="s">
        <v>943</v>
      </c>
      <c r="B32" s="108"/>
      <c r="C32" s="107" t="s">
        <v>944</v>
      </c>
      <c r="D32" s="115"/>
      <c r="E32" s="115"/>
      <c r="F32" s="108"/>
      <c r="G32" s="12">
        <v>5.1999999999999998E-2</v>
      </c>
      <c r="H32" s="12">
        <v>4.0300000000000002E-2</v>
      </c>
      <c r="I32" s="12">
        <v>5.1999999999999998E-2</v>
      </c>
      <c r="J32" s="12">
        <v>4.0300000000000002E-2</v>
      </c>
    </row>
    <row r="33" spans="1:10" ht="15" customHeight="1" x14ac:dyDescent="0.25">
      <c r="A33" s="107" t="s">
        <v>945</v>
      </c>
      <c r="B33" s="108"/>
      <c r="C33" s="107" t="s">
        <v>946</v>
      </c>
      <c r="D33" s="115"/>
      <c r="E33" s="115"/>
      <c r="F33" s="108"/>
      <c r="G33" s="12">
        <v>1.1999999999999999E-3</v>
      </c>
      <c r="H33" s="12">
        <v>8.9999999999999998E-4</v>
      </c>
      <c r="I33" s="12">
        <v>1.1999999999999999E-3</v>
      </c>
      <c r="J33" s="12">
        <v>8.9999999999999998E-4</v>
      </c>
    </row>
    <row r="34" spans="1:10" ht="15" customHeight="1" x14ac:dyDescent="0.25">
      <c r="A34" s="107" t="s">
        <v>947</v>
      </c>
      <c r="B34" s="108"/>
      <c r="C34" s="107" t="s">
        <v>948</v>
      </c>
      <c r="D34" s="115"/>
      <c r="E34" s="115"/>
      <c r="F34" s="108"/>
      <c r="G34" s="12">
        <v>5.2600000000000001E-2</v>
      </c>
      <c r="H34" s="12">
        <v>4.07E-2</v>
      </c>
      <c r="I34" s="12">
        <v>5.2600000000000001E-2</v>
      </c>
      <c r="J34" s="12">
        <v>4.07E-2</v>
      </c>
    </row>
    <row r="35" spans="1:10" ht="15" customHeight="1" x14ac:dyDescent="0.25">
      <c r="A35" s="107" t="s">
        <v>949</v>
      </c>
      <c r="B35" s="108"/>
      <c r="C35" s="107" t="s">
        <v>950</v>
      </c>
      <c r="D35" s="115"/>
      <c r="E35" s="115"/>
      <c r="F35" s="108"/>
      <c r="G35" s="12">
        <v>3.9E-2</v>
      </c>
      <c r="H35" s="12">
        <v>3.0200000000000001E-2</v>
      </c>
      <c r="I35" s="12">
        <v>3.9E-2</v>
      </c>
      <c r="J35" s="12">
        <v>3.0200000000000001E-2</v>
      </c>
    </row>
    <row r="36" spans="1:10" ht="15" customHeight="1" x14ac:dyDescent="0.25">
      <c r="A36" s="107" t="s">
        <v>951</v>
      </c>
      <c r="B36" s="108"/>
      <c r="C36" s="107" t="s">
        <v>952</v>
      </c>
      <c r="D36" s="115"/>
      <c r="E36" s="115"/>
      <c r="F36" s="108"/>
      <c r="G36" s="12">
        <v>4.4000000000000003E-3</v>
      </c>
      <c r="H36" s="12">
        <v>3.3999999999999998E-3</v>
      </c>
      <c r="I36" s="12">
        <v>4.4000000000000003E-3</v>
      </c>
      <c r="J36" s="12">
        <v>3.3999999999999998E-3</v>
      </c>
    </row>
    <row r="37" spans="1:10" ht="15" customHeight="1" x14ac:dyDescent="0.25">
      <c r="A37" s="107" t="s">
        <v>953</v>
      </c>
      <c r="B37" s="108"/>
      <c r="C37" s="107" t="s">
        <v>21</v>
      </c>
      <c r="D37" s="115"/>
      <c r="E37" s="115"/>
      <c r="F37" s="108"/>
      <c r="G37" s="12">
        <f>SUM(G32:G36)</f>
        <v>0.1492</v>
      </c>
      <c r="H37" s="12">
        <f>SUM(H32:H36)</f>
        <v>0.11550000000000001</v>
      </c>
      <c r="I37" s="12">
        <f>SUM(I32:I36)</f>
        <v>0.1492</v>
      </c>
      <c r="J37" s="12">
        <f>SUM(J32:J36)</f>
        <v>0.11550000000000001</v>
      </c>
    </row>
    <row r="38" spans="1:10" ht="15" customHeight="1" x14ac:dyDescent="0.25">
      <c r="A38" s="49" t="s">
        <v>954</v>
      </c>
      <c r="B38" s="50"/>
      <c r="C38" s="50"/>
      <c r="D38" s="50"/>
      <c r="E38" s="50"/>
      <c r="F38" s="50"/>
      <c r="G38" s="50"/>
      <c r="H38" s="50"/>
      <c r="I38" s="50"/>
      <c r="J38" s="51"/>
    </row>
    <row r="39" spans="1:10" ht="15" customHeight="1" x14ac:dyDescent="0.25">
      <c r="A39" s="107" t="s">
        <v>955</v>
      </c>
      <c r="B39" s="108"/>
      <c r="C39" s="107" t="s">
        <v>956</v>
      </c>
      <c r="D39" s="115"/>
      <c r="E39" s="115"/>
      <c r="F39" s="108"/>
      <c r="G39" s="12">
        <v>7.3700000000000002E-2</v>
      </c>
      <c r="H39" s="12">
        <v>2.7199999999999998E-2</v>
      </c>
      <c r="I39" s="12">
        <v>0.1613</v>
      </c>
      <c r="J39" s="12">
        <v>5.96E-2</v>
      </c>
    </row>
    <row r="40" spans="1:10" ht="45" customHeight="1" x14ac:dyDescent="0.25">
      <c r="A40" s="107" t="s">
        <v>957</v>
      </c>
      <c r="B40" s="108"/>
      <c r="C40" s="107" t="s">
        <v>958</v>
      </c>
      <c r="D40" s="115"/>
      <c r="E40" s="115"/>
      <c r="F40" s="108"/>
      <c r="G40" s="12">
        <v>4.4000000000000003E-3</v>
      </c>
      <c r="H40" s="12">
        <v>3.3999999999999998E-3</v>
      </c>
      <c r="I40" s="12">
        <v>4.5999999999999999E-3</v>
      </c>
      <c r="J40" s="12">
        <v>3.5999999999999999E-3</v>
      </c>
    </row>
    <row r="41" spans="1:10" ht="15" customHeight="1" x14ac:dyDescent="0.25">
      <c r="A41" s="107" t="s">
        <v>959</v>
      </c>
      <c r="B41" s="108"/>
      <c r="C41" s="107" t="s">
        <v>21</v>
      </c>
      <c r="D41" s="115"/>
      <c r="E41" s="115"/>
      <c r="F41" s="108"/>
      <c r="G41" s="12">
        <f>SUM(G39:G40)</f>
        <v>7.8100000000000003E-2</v>
      </c>
      <c r="H41" s="12">
        <f>SUM(H39:H40)</f>
        <v>3.0599999999999999E-2</v>
      </c>
      <c r="I41" s="12">
        <f>SUM(I39:I40)</f>
        <v>0.16589999999999999</v>
      </c>
      <c r="J41" s="12">
        <f>SUM(J39:J40)</f>
        <v>6.3200000000000006E-2</v>
      </c>
    </row>
    <row r="42" spans="1:10" ht="15" customHeight="1" x14ac:dyDescent="0.25">
      <c r="A42" s="49" t="s">
        <v>960</v>
      </c>
      <c r="B42" s="50"/>
      <c r="C42" s="50"/>
      <c r="D42" s="50"/>
      <c r="E42" s="50"/>
      <c r="F42" s="50"/>
      <c r="G42" s="50"/>
      <c r="H42" s="50"/>
      <c r="I42" s="50"/>
      <c r="J42" s="51"/>
    </row>
    <row r="43" spans="1:10" ht="15" customHeight="1" x14ac:dyDescent="0.25">
      <c r="A43" s="49" t="s">
        <v>21</v>
      </c>
      <c r="B43" s="50"/>
      <c r="C43" s="50"/>
      <c r="D43" s="50"/>
      <c r="E43" s="50"/>
      <c r="F43" s="51"/>
      <c r="G43" s="14">
        <f>G18+G30+G37+G41</f>
        <v>0.83369999999999989</v>
      </c>
      <c r="H43" s="14">
        <f>H18+H30+H37+H41</f>
        <v>0.47609999999999997</v>
      </c>
      <c r="I43" s="14">
        <f>I18+I30+I37+I41</f>
        <v>1.1214999999999999</v>
      </c>
      <c r="J43" s="14">
        <f>J18+J30+J37+J41</f>
        <v>0.70870000000000011</v>
      </c>
    </row>
    <row r="44" spans="1:10" ht="15" customHeight="1" x14ac:dyDescent="0.25">
      <c r="A44" s="114" t="s">
        <v>961</v>
      </c>
      <c r="B44" s="114"/>
      <c r="C44" s="114"/>
      <c r="D44" s="114"/>
      <c r="E44" s="114"/>
      <c r="F44" s="114"/>
      <c r="G44" s="114"/>
      <c r="H44" s="114"/>
      <c r="I44" s="114"/>
      <c r="J44" s="114"/>
    </row>
  </sheetData>
  <sheetProtection formatCells="0" formatColumns="0" formatRows="0" insertColumns="0" insertRows="0" insertHyperlinks="0" deleteColumns="0" deleteRows="0" sort="0" autoFilter="0" pivotTables="0"/>
  <mergeCells count="74">
    <mergeCell ref="A11:B11"/>
    <mergeCell ref="C11:F11"/>
    <mergeCell ref="A1:J1"/>
    <mergeCell ref="A2:J2"/>
    <mergeCell ref="A3:J3"/>
    <mergeCell ref="A6:B7"/>
    <mergeCell ref="C6:F7"/>
    <mergeCell ref="G6:H6"/>
    <mergeCell ref="I6:J6"/>
    <mergeCell ref="A8:J8"/>
    <mergeCell ref="A9:B9"/>
    <mergeCell ref="C9:F9"/>
    <mergeCell ref="A10:B10"/>
    <mergeCell ref="C10:F10"/>
    <mergeCell ref="A12:B12"/>
    <mergeCell ref="C12:F12"/>
    <mergeCell ref="A13:B13"/>
    <mergeCell ref="C13:F13"/>
    <mergeCell ref="A14:B14"/>
    <mergeCell ref="C14:F14"/>
    <mergeCell ref="A21:B21"/>
    <mergeCell ref="C21:F21"/>
    <mergeCell ref="A15:B15"/>
    <mergeCell ref="C15:F15"/>
    <mergeCell ref="A16:B16"/>
    <mergeCell ref="C16:F16"/>
    <mergeCell ref="A17:B17"/>
    <mergeCell ref="C17:F17"/>
    <mergeCell ref="A18:B18"/>
    <mergeCell ref="C18:F18"/>
    <mergeCell ref="A19:J19"/>
    <mergeCell ref="A20:B20"/>
    <mergeCell ref="C20:F20"/>
    <mergeCell ref="A22:B22"/>
    <mergeCell ref="C22:F22"/>
    <mergeCell ref="A23:B23"/>
    <mergeCell ref="C23:F23"/>
    <mergeCell ref="A24:B24"/>
    <mergeCell ref="C24:F24"/>
    <mergeCell ref="A25:B25"/>
    <mergeCell ref="C25:F25"/>
    <mergeCell ref="A26:B26"/>
    <mergeCell ref="C26:F26"/>
    <mergeCell ref="A27:B27"/>
    <mergeCell ref="C27:F27"/>
    <mergeCell ref="A34:B34"/>
    <mergeCell ref="C34:F34"/>
    <mergeCell ref="A28:B28"/>
    <mergeCell ref="C28:F28"/>
    <mergeCell ref="A29:B29"/>
    <mergeCell ref="C29:F29"/>
    <mergeCell ref="A30:B30"/>
    <mergeCell ref="C30:F30"/>
    <mergeCell ref="A31:J31"/>
    <mergeCell ref="A32:B32"/>
    <mergeCell ref="C32:F32"/>
    <mergeCell ref="A33:B33"/>
    <mergeCell ref="C33:F33"/>
    <mergeCell ref="A35:B35"/>
    <mergeCell ref="C35:F35"/>
    <mergeCell ref="A36:B36"/>
    <mergeCell ref="C36:F36"/>
    <mergeCell ref="A37:B37"/>
    <mergeCell ref="C37:F37"/>
    <mergeCell ref="A42:J42"/>
    <mergeCell ref="A43:F43"/>
    <mergeCell ref="A44:J44"/>
    <mergeCell ref="A38:J38"/>
    <mergeCell ref="A39:B39"/>
    <mergeCell ref="C39:F39"/>
    <mergeCell ref="A40:B40"/>
    <mergeCell ref="C40:F40"/>
    <mergeCell ref="A41:B41"/>
    <mergeCell ref="C41:F41"/>
  </mergeCells>
  <pageMargins left="0.7" right="0.7" top="0.75" bottom="0.75" header="0.3" footer="0.3"/>
  <pageSetup scale="6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9"/>
  <sheetViews>
    <sheetView showGridLines="0" view="pageBreakPreview" zoomScale="60" zoomScaleNormal="100" workbookViewId="0">
      <selection activeCell="B289" sqref="B289"/>
    </sheetView>
  </sheetViews>
  <sheetFormatPr defaultRowHeight="15" customHeight="1" x14ac:dyDescent="0.25"/>
  <cols>
    <col min="1" max="1" width="17.140625" style="2" customWidth="1"/>
    <col min="2" max="2" width="102.85546875" style="2" customWidth="1"/>
    <col min="3" max="3" width="11.42578125" style="2" customWidth="1"/>
    <col min="4" max="6" width="17.140625" style="2" customWidth="1"/>
  </cols>
  <sheetData>
    <row r="1" spans="1:6" ht="15" customHeight="1" x14ac:dyDescent="0.25">
      <c r="A1" s="6" t="s">
        <v>962</v>
      </c>
      <c r="B1" s="6" t="s">
        <v>963</v>
      </c>
      <c r="C1" s="6" t="s">
        <v>964</v>
      </c>
      <c r="D1" s="6" t="s">
        <v>965</v>
      </c>
      <c r="E1" s="6" t="s">
        <v>966</v>
      </c>
      <c r="F1" s="6" t="s">
        <v>967</v>
      </c>
    </row>
    <row r="2" spans="1:6" ht="15" customHeight="1" x14ac:dyDescent="0.25">
      <c r="A2" s="20">
        <v>89048</v>
      </c>
      <c r="B2" s="9" t="s">
        <v>968</v>
      </c>
      <c r="C2" s="35" t="s">
        <v>219</v>
      </c>
      <c r="D2" s="17">
        <f t="shared" ref="D2:D65" si="0">IF(ONERA="COM DESONERAÇÃO",E2,F2)</f>
        <v>30.18</v>
      </c>
      <c r="E2" s="17">
        <v>28.55</v>
      </c>
      <c r="F2" s="17">
        <v>30.18</v>
      </c>
    </row>
    <row r="3" spans="1:6" ht="15" customHeight="1" x14ac:dyDescent="0.25">
      <c r="A3" s="20">
        <v>91795</v>
      </c>
      <c r="B3" s="9" t="s">
        <v>969</v>
      </c>
      <c r="C3" s="35" t="s">
        <v>970</v>
      </c>
      <c r="D3" s="17">
        <f t="shared" si="0"/>
        <v>58.63</v>
      </c>
      <c r="E3" s="17">
        <v>56.34</v>
      </c>
      <c r="F3" s="17">
        <v>58.63</v>
      </c>
    </row>
    <row r="4" spans="1:6" ht="15" customHeight="1" x14ac:dyDescent="0.25">
      <c r="A4" s="20">
        <v>91785</v>
      </c>
      <c r="B4" s="9" t="s">
        <v>971</v>
      </c>
      <c r="C4" s="35" t="s">
        <v>970</v>
      </c>
      <c r="D4" s="17">
        <f t="shared" si="0"/>
        <v>34.58</v>
      </c>
      <c r="E4" s="17">
        <v>32.14</v>
      </c>
      <c r="F4" s="17">
        <v>34.58</v>
      </c>
    </row>
    <row r="5" spans="1:6" ht="15" customHeight="1" x14ac:dyDescent="0.25">
      <c r="A5" s="20">
        <v>89171</v>
      </c>
      <c r="B5" s="9" t="s">
        <v>972</v>
      </c>
      <c r="C5" s="35" t="s">
        <v>219</v>
      </c>
      <c r="D5" s="17">
        <f t="shared" si="0"/>
        <v>50.82</v>
      </c>
      <c r="E5" s="17">
        <v>49.74</v>
      </c>
      <c r="F5" s="17">
        <v>50.82</v>
      </c>
    </row>
    <row r="6" spans="1:6" ht="15" customHeight="1" x14ac:dyDescent="0.25">
      <c r="A6" s="20">
        <v>95952</v>
      </c>
      <c r="B6" s="9" t="s">
        <v>973</v>
      </c>
      <c r="C6" s="35" t="s">
        <v>974</v>
      </c>
      <c r="D6" s="17">
        <f t="shared" si="0"/>
        <v>1937.81</v>
      </c>
      <c r="E6" s="17">
        <v>1897.18</v>
      </c>
      <c r="F6" s="17">
        <v>1937.81</v>
      </c>
    </row>
    <row r="7" spans="1:6" ht="15" customHeight="1" x14ac:dyDescent="0.25">
      <c r="A7" s="16" t="s">
        <v>435</v>
      </c>
      <c r="B7" s="9" t="s">
        <v>975</v>
      </c>
      <c r="C7" s="35" t="s">
        <v>976</v>
      </c>
      <c r="D7" s="17">
        <f t="shared" si="0"/>
        <v>14.57</v>
      </c>
      <c r="E7" s="17">
        <v>14.57</v>
      </c>
      <c r="F7" s="17">
        <v>14.57</v>
      </c>
    </row>
    <row r="8" spans="1:6" ht="15" customHeight="1" x14ac:dyDescent="0.25">
      <c r="A8" s="16" t="s">
        <v>516</v>
      </c>
      <c r="B8" s="9" t="s">
        <v>977</v>
      </c>
      <c r="C8" s="35" t="s">
        <v>976</v>
      </c>
      <c r="D8" s="17">
        <f t="shared" si="0"/>
        <v>13.66</v>
      </c>
      <c r="E8" s="17">
        <v>13.66</v>
      </c>
      <c r="F8" s="17">
        <v>13.66</v>
      </c>
    </row>
    <row r="9" spans="1:6" ht="15" customHeight="1" x14ac:dyDescent="0.25">
      <c r="A9" s="20">
        <v>89383</v>
      </c>
      <c r="B9" s="9" t="s">
        <v>978</v>
      </c>
      <c r="C9" s="35" t="s">
        <v>979</v>
      </c>
      <c r="D9" s="17">
        <f t="shared" si="0"/>
        <v>5.39</v>
      </c>
      <c r="E9" s="17">
        <v>5.05</v>
      </c>
      <c r="F9" s="17">
        <v>5.39</v>
      </c>
    </row>
    <row r="10" spans="1:6" ht="15" customHeight="1" x14ac:dyDescent="0.25">
      <c r="A10" s="20">
        <v>88238</v>
      </c>
      <c r="B10" s="9" t="s">
        <v>980</v>
      </c>
      <c r="C10" s="35" t="s">
        <v>981</v>
      </c>
      <c r="D10" s="17">
        <f t="shared" si="0"/>
        <v>15.19</v>
      </c>
      <c r="E10" s="17">
        <v>13.77</v>
      </c>
      <c r="F10" s="17">
        <v>15.19</v>
      </c>
    </row>
    <row r="11" spans="1:6" ht="15" customHeight="1" x14ac:dyDescent="0.25">
      <c r="A11" s="20">
        <v>88239</v>
      </c>
      <c r="B11" s="9" t="s">
        <v>982</v>
      </c>
      <c r="C11" s="35" t="s">
        <v>981</v>
      </c>
      <c r="D11" s="17">
        <f t="shared" si="0"/>
        <v>16.47</v>
      </c>
      <c r="E11" s="17">
        <v>14.85</v>
      </c>
      <c r="F11" s="17">
        <v>16.47</v>
      </c>
    </row>
    <row r="12" spans="1:6" ht="15" customHeight="1" x14ac:dyDescent="0.25">
      <c r="A12" s="20">
        <v>88243</v>
      </c>
      <c r="B12" s="9" t="s">
        <v>983</v>
      </c>
      <c r="C12" s="35" t="s">
        <v>981</v>
      </c>
      <c r="D12" s="17">
        <f t="shared" si="0"/>
        <v>18.440000000000001</v>
      </c>
      <c r="E12" s="17">
        <v>16.559999999999999</v>
      </c>
      <c r="F12" s="17">
        <v>18.440000000000001</v>
      </c>
    </row>
    <row r="13" spans="1:6" ht="15" customHeight="1" x14ac:dyDescent="0.25">
      <c r="A13" s="16" t="s">
        <v>353</v>
      </c>
      <c r="B13" s="9" t="s">
        <v>984</v>
      </c>
      <c r="C13" s="35" t="s">
        <v>974</v>
      </c>
      <c r="D13" s="17">
        <f t="shared" si="0"/>
        <v>451.89</v>
      </c>
      <c r="E13" s="17">
        <v>451.89</v>
      </c>
      <c r="F13" s="17">
        <v>451.89</v>
      </c>
    </row>
    <row r="14" spans="1:6" ht="15" customHeight="1" x14ac:dyDescent="0.25">
      <c r="A14" s="20">
        <v>87525</v>
      </c>
      <c r="B14" s="9" t="s">
        <v>985</v>
      </c>
      <c r="C14" s="35" t="s">
        <v>219</v>
      </c>
      <c r="D14" s="17">
        <f t="shared" si="0"/>
        <v>124.41</v>
      </c>
      <c r="E14" s="17">
        <v>116.66</v>
      </c>
      <c r="F14" s="17">
        <v>124.41</v>
      </c>
    </row>
    <row r="15" spans="1:6" ht="15" customHeight="1" x14ac:dyDescent="0.25">
      <c r="A15" s="20">
        <v>87523</v>
      </c>
      <c r="B15" s="9" t="s">
        <v>986</v>
      </c>
      <c r="C15" s="35" t="s">
        <v>219</v>
      </c>
      <c r="D15" s="17">
        <f t="shared" si="0"/>
        <v>80.84</v>
      </c>
      <c r="E15" s="17">
        <v>75.849999999999994</v>
      </c>
      <c r="F15" s="17">
        <v>80.84</v>
      </c>
    </row>
    <row r="16" spans="1:6" ht="15" customHeight="1" x14ac:dyDescent="0.25">
      <c r="A16" s="16" t="s">
        <v>436</v>
      </c>
      <c r="B16" s="9" t="s">
        <v>987</v>
      </c>
      <c r="C16" s="35" t="s">
        <v>219</v>
      </c>
      <c r="D16" s="17">
        <f t="shared" si="0"/>
        <v>76.16</v>
      </c>
      <c r="E16" s="17">
        <v>76.16</v>
      </c>
      <c r="F16" s="17">
        <v>76.16</v>
      </c>
    </row>
    <row r="17" spans="1:6" ht="15" customHeight="1" x14ac:dyDescent="0.25">
      <c r="A17" s="20">
        <v>88415</v>
      </c>
      <c r="B17" s="9" t="s">
        <v>988</v>
      </c>
      <c r="C17" s="35" t="s">
        <v>219</v>
      </c>
      <c r="D17" s="17">
        <f t="shared" si="0"/>
        <v>2.27</v>
      </c>
      <c r="E17" s="17">
        <v>2.14</v>
      </c>
      <c r="F17" s="17">
        <v>2.27</v>
      </c>
    </row>
    <row r="18" spans="1:6" ht="15" customHeight="1" x14ac:dyDescent="0.25">
      <c r="A18" s="20">
        <v>88489</v>
      </c>
      <c r="B18" s="9" t="s">
        <v>989</v>
      </c>
      <c r="C18" s="35" t="s">
        <v>219</v>
      </c>
      <c r="D18" s="17">
        <f t="shared" si="0"/>
        <v>10.85</v>
      </c>
      <c r="E18" s="17">
        <v>10.37</v>
      </c>
      <c r="F18" s="17">
        <v>10.85</v>
      </c>
    </row>
    <row r="19" spans="1:6" ht="15" customHeight="1" x14ac:dyDescent="0.25">
      <c r="A19" s="16" t="s">
        <v>395</v>
      </c>
      <c r="B19" s="9" t="s">
        <v>990</v>
      </c>
      <c r="C19" s="35" t="s">
        <v>974</v>
      </c>
      <c r="D19" s="17">
        <f t="shared" si="0"/>
        <v>468.55</v>
      </c>
      <c r="E19" s="17">
        <v>468.55</v>
      </c>
      <c r="F19" s="17">
        <v>468.55</v>
      </c>
    </row>
    <row r="20" spans="1:6" ht="15" customHeight="1" x14ac:dyDescent="0.25">
      <c r="A20" s="16" t="s">
        <v>746</v>
      </c>
      <c r="B20" s="9" t="s">
        <v>991</v>
      </c>
      <c r="C20" s="35" t="s">
        <v>974</v>
      </c>
      <c r="D20" s="17">
        <f t="shared" si="0"/>
        <v>577.35</v>
      </c>
      <c r="E20" s="17">
        <v>577.35</v>
      </c>
      <c r="F20" s="17">
        <v>577.35</v>
      </c>
    </row>
    <row r="21" spans="1:6" ht="15" customHeight="1" x14ac:dyDescent="0.25">
      <c r="A21" s="16" t="s">
        <v>677</v>
      </c>
      <c r="B21" s="9" t="s">
        <v>992</v>
      </c>
      <c r="C21" s="35" t="s">
        <v>974</v>
      </c>
      <c r="D21" s="17">
        <f t="shared" si="0"/>
        <v>449.94</v>
      </c>
      <c r="E21" s="17">
        <v>449.94</v>
      </c>
      <c r="F21" s="17">
        <v>449.94</v>
      </c>
    </row>
    <row r="22" spans="1:6" ht="15" customHeight="1" x14ac:dyDescent="0.25">
      <c r="A22" s="20">
        <v>87369</v>
      </c>
      <c r="B22" s="9" t="s">
        <v>993</v>
      </c>
      <c r="C22" s="35" t="s">
        <v>974</v>
      </c>
      <c r="D22" s="17">
        <f t="shared" si="0"/>
        <v>541.25</v>
      </c>
      <c r="E22" s="17">
        <v>524.92999999999995</v>
      </c>
      <c r="F22" s="17">
        <v>541.25</v>
      </c>
    </row>
    <row r="23" spans="1:6" ht="15" customHeight="1" x14ac:dyDescent="0.25">
      <c r="A23" s="20">
        <v>87292</v>
      </c>
      <c r="B23" s="9" t="s">
        <v>994</v>
      </c>
      <c r="C23" s="35" t="s">
        <v>974</v>
      </c>
      <c r="D23" s="17">
        <f t="shared" si="0"/>
        <v>469.65</v>
      </c>
      <c r="E23" s="17">
        <v>459.89</v>
      </c>
      <c r="F23" s="17">
        <v>469.65</v>
      </c>
    </row>
    <row r="24" spans="1:6" ht="15" customHeight="1" x14ac:dyDescent="0.25">
      <c r="A24" s="20">
        <v>87313</v>
      </c>
      <c r="B24" s="9" t="s">
        <v>995</v>
      </c>
      <c r="C24" s="35" t="s">
        <v>974</v>
      </c>
      <c r="D24" s="17">
        <f t="shared" si="0"/>
        <v>437.84</v>
      </c>
      <c r="E24" s="17">
        <v>428.47</v>
      </c>
      <c r="F24" s="17">
        <v>437.84</v>
      </c>
    </row>
    <row r="25" spans="1:6" ht="15" customHeight="1" x14ac:dyDescent="0.25">
      <c r="A25" s="20">
        <v>88629</v>
      </c>
      <c r="B25" s="9" t="s">
        <v>996</v>
      </c>
      <c r="C25" s="35" t="s">
        <v>974</v>
      </c>
      <c r="D25" s="17">
        <f t="shared" si="0"/>
        <v>527.39</v>
      </c>
      <c r="E25" s="17">
        <v>514.79999999999995</v>
      </c>
      <c r="F25" s="17">
        <v>527.39</v>
      </c>
    </row>
    <row r="26" spans="1:6" ht="15" customHeight="1" x14ac:dyDescent="0.25">
      <c r="A26" s="20">
        <v>87296</v>
      </c>
      <c r="B26" s="9" t="s">
        <v>997</v>
      </c>
      <c r="C26" s="35" t="s">
        <v>974</v>
      </c>
      <c r="D26" s="17">
        <f t="shared" si="0"/>
        <v>427.45</v>
      </c>
      <c r="E26" s="17">
        <v>419.45</v>
      </c>
      <c r="F26" s="17">
        <v>427.45</v>
      </c>
    </row>
    <row r="27" spans="1:6" ht="15" customHeight="1" x14ac:dyDescent="0.25">
      <c r="A27" s="20">
        <v>96543</v>
      </c>
      <c r="B27" s="9" t="s">
        <v>998</v>
      </c>
      <c r="C27" s="35" t="s">
        <v>976</v>
      </c>
      <c r="D27" s="17">
        <f t="shared" si="0"/>
        <v>17.54</v>
      </c>
      <c r="E27" s="17">
        <v>16.88</v>
      </c>
      <c r="F27" s="17">
        <v>17.54</v>
      </c>
    </row>
    <row r="28" spans="1:6" ht="15" customHeight="1" x14ac:dyDescent="0.25">
      <c r="A28" s="20">
        <v>96546</v>
      </c>
      <c r="B28" s="9" t="s">
        <v>999</v>
      </c>
      <c r="C28" s="35" t="s">
        <v>976</v>
      </c>
      <c r="D28" s="17">
        <f t="shared" si="0"/>
        <v>14.16</v>
      </c>
      <c r="E28" s="17">
        <v>13.91</v>
      </c>
      <c r="F28" s="17">
        <v>14.16</v>
      </c>
    </row>
    <row r="29" spans="1:6" ht="15" customHeight="1" x14ac:dyDescent="0.25">
      <c r="A29" s="20">
        <v>96544</v>
      </c>
      <c r="B29" s="9" t="s">
        <v>1000</v>
      </c>
      <c r="C29" s="35" t="s">
        <v>976</v>
      </c>
      <c r="D29" s="17">
        <f t="shared" si="0"/>
        <v>16.670000000000002</v>
      </c>
      <c r="E29" s="17">
        <v>16.21</v>
      </c>
      <c r="F29" s="17">
        <v>16.670000000000002</v>
      </c>
    </row>
    <row r="30" spans="1:6" ht="15" customHeight="1" x14ac:dyDescent="0.25">
      <c r="A30" s="20">
        <v>95944</v>
      </c>
      <c r="B30" s="9" t="s">
        <v>1001</v>
      </c>
      <c r="C30" s="35" t="s">
        <v>976</v>
      </c>
      <c r="D30" s="17">
        <f t="shared" si="0"/>
        <v>19.22</v>
      </c>
      <c r="E30" s="17">
        <v>18.47</v>
      </c>
      <c r="F30" s="17">
        <v>19.22</v>
      </c>
    </row>
    <row r="31" spans="1:6" ht="15" customHeight="1" x14ac:dyDescent="0.25">
      <c r="A31" s="20">
        <v>95945</v>
      </c>
      <c r="B31" s="9" t="s">
        <v>1002</v>
      </c>
      <c r="C31" s="35" t="s">
        <v>976</v>
      </c>
      <c r="D31" s="17">
        <f t="shared" si="0"/>
        <v>16.63</v>
      </c>
      <c r="E31" s="17">
        <v>16.2</v>
      </c>
      <c r="F31" s="17">
        <v>16.63</v>
      </c>
    </row>
    <row r="32" spans="1:6" ht="15" customHeight="1" x14ac:dyDescent="0.25">
      <c r="A32" s="20">
        <v>92769</v>
      </c>
      <c r="B32" s="9" t="s">
        <v>1003</v>
      </c>
      <c r="C32" s="35" t="s">
        <v>976</v>
      </c>
      <c r="D32" s="17">
        <f t="shared" si="0"/>
        <v>14.17</v>
      </c>
      <c r="E32" s="17">
        <v>13.96</v>
      </c>
      <c r="F32" s="17">
        <v>14.17</v>
      </c>
    </row>
    <row r="33" spans="1:6" ht="15" customHeight="1" x14ac:dyDescent="0.25">
      <c r="A33" s="20">
        <v>92770</v>
      </c>
      <c r="B33" s="9" t="s">
        <v>1004</v>
      </c>
      <c r="C33" s="35" t="s">
        <v>976</v>
      </c>
      <c r="D33" s="17">
        <f t="shared" si="0"/>
        <v>13.83</v>
      </c>
      <c r="E33" s="17">
        <v>13.7</v>
      </c>
      <c r="F33" s="17">
        <v>13.83</v>
      </c>
    </row>
    <row r="34" spans="1:6" ht="15" customHeight="1" x14ac:dyDescent="0.25">
      <c r="A34" s="20">
        <v>92768</v>
      </c>
      <c r="B34" s="9" t="s">
        <v>1005</v>
      </c>
      <c r="C34" s="35" t="s">
        <v>976</v>
      </c>
      <c r="D34" s="17">
        <f t="shared" si="0"/>
        <v>14.25</v>
      </c>
      <c r="E34" s="17">
        <v>13.93</v>
      </c>
      <c r="F34" s="17">
        <v>14.25</v>
      </c>
    </row>
    <row r="35" spans="1:6" ht="15" customHeight="1" x14ac:dyDescent="0.25">
      <c r="A35" s="20">
        <v>92762</v>
      </c>
      <c r="B35" s="9" t="s">
        <v>1006</v>
      </c>
      <c r="C35" s="35" t="s">
        <v>976</v>
      </c>
      <c r="D35" s="17">
        <f t="shared" si="0"/>
        <v>13.16</v>
      </c>
      <c r="E35" s="17">
        <v>13.01</v>
      </c>
      <c r="F35" s="17">
        <v>13.16</v>
      </c>
    </row>
    <row r="36" spans="1:6" ht="15" customHeight="1" x14ac:dyDescent="0.25">
      <c r="A36" s="20">
        <v>92763</v>
      </c>
      <c r="B36" s="9" t="s">
        <v>1007</v>
      </c>
      <c r="C36" s="35" t="s">
        <v>976</v>
      </c>
      <c r="D36" s="17">
        <f t="shared" si="0"/>
        <v>11.21</v>
      </c>
      <c r="E36" s="17">
        <v>11.11</v>
      </c>
      <c r="F36" s="17">
        <v>11.21</v>
      </c>
    </row>
    <row r="37" spans="1:6" ht="15" customHeight="1" x14ac:dyDescent="0.25">
      <c r="A37" s="20">
        <v>92764</v>
      </c>
      <c r="B37" s="9" t="s">
        <v>1008</v>
      </c>
      <c r="C37" s="35" t="s">
        <v>976</v>
      </c>
      <c r="D37" s="17">
        <f t="shared" si="0"/>
        <v>10.83</v>
      </c>
      <c r="E37" s="17">
        <v>10.76</v>
      </c>
      <c r="F37" s="17">
        <v>10.83</v>
      </c>
    </row>
    <row r="38" spans="1:6" ht="15" customHeight="1" x14ac:dyDescent="0.25">
      <c r="A38" s="20">
        <v>92765</v>
      </c>
      <c r="B38" s="9" t="s">
        <v>1009</v>
      </c>
      <c r="C38" s="35" t="s">
        <v>976</v>
      </c>
      <c r="D38" s="17">
        <f t="shared" si="0"/>
        <v>12.33</v>
      </c>
      <c r="E38" s="17">
        <v>12.29</v>
      </c>
      <c r="F38" s="17">
        <v>12.33</v>
      </c>
    </row>
    <row r="39" spans="1:6" ht="15" customHeight="1" x14ac:dyDescent="0.25">
      <c r="A39" s="20">
        <v>92766</v>
      </c>
      <c r="B39" s="9" t="s">
        <v>1010</v>
      </c>
      <c r="C39" s="35" t="s">
        <v>976</v>
      </c>
      <c r="D39" s="17">
        <f t="shared" si="0"/>
        <v>12.14</v>
      </c>
      <c r="E39" s="17">
        <v>12.11</v>
      </c>
      <c r="F39" s="17">
        <v>12.14</v>
      </c>
    </row>
    <row r="40" spans="1:6" ht="15" customHeight="1" x14ac:dyDescent="0.25">
      <c r="A40" s="20">
        <v>92760</v>
      </c>
      <c r="B40" s="9" t="s">
        <v>1011</v>
      </c>
      <c r="C40" s="35" t="s">
        <v>976</v>
      </c>
      <c r="D40" s="17">
        <f t="shared" si="0"/>
        <v>15.01</v>
      </c>
      <c r="E40" s="17">
        <v>14.71</v>
      </c>
      <c r="F40" s="17">
        <v>15.01</v>
      </c>
    </row>
    <row r="41" spans="1:6" ht="15" customHeight="1" x14ac:dyDescent="0.25">
      <c r="A41" s="20">
        <v>92761</v>
      </c>
      <c r="B41" s="9" t="s">
        <v>1012</v>
      </c>
      <c r="C41" s="35" t="s">
        <v>976</v>
      </c>
      <c r="D41" s="17">
        <f t="shared" si="0"/>
        <v>14.49</v>
      </c>
      <c r="E41" s="17">
        <v>14.28</v>
      </c>
      <c r="F41" s="17">
        <v>14.49</v>
      </c>
    </row>
    <row r="42" spans="1:6" ht="15" customHeight="1" x14ac:dyDescent="0.25">
      <c r="A42" s="20">
        <v>92759</v>
      </c>
      <c r="B42" s="9" t="s">
        <v>1013</v>
      </c>
      <c r="C42" s="35" t="s">
        <v>976</v>
      </c>
      <c r="D42" s="17">
        <f t="shared" si="0"/>
        <v>15.32</v>
      </c>
      <c r="E42" s="17">
        <v>14.86</v>
      </c>
      <c r="F42" s="17">
        <v>15.32</v>
      </c>
    </row>
    <row r="43" spans="1:6" ht="15" customHeight="1" x14ac:dyDescent="0.25">
      <c r="A43" s="20">
        <v>88245</v>
      </c>
      <c r="B43" s="9" t="s">
        <v>1014</v>
      </c>
      <c r="C43" s="35" t="s">
        <v>981</v>
      </c>
      <c r="D43" s="17">
        <f t="shared" si="0"/>
        <v>19.75</v>
      </c>
      <c r="E43" s="17">
        <v>17.7</v>
      </c>
      <c r="F43" s="17">
        <v>19.75</v>
      </c>
    </row>
    <row r="44" spans="1:6" ht="15" customHeight="1" x14ac:dyDescent="0.25">
      <c r="A44" s="20">
        <v>94319</v>
      </c>
      <c r="B44" s="9" t="s">
        <v>1015</v>
      </c>
      <c r="C44" s="35" t="s">
        <v>974</v>
      </c>
      <c r="D44" s="17">
        <f t="shared" si="0"/>
        <v>40.11</v>
      </c>
      <c r="E44" s="17">
        <v>37.6</v>
      </c>
      <c r="F44" s="17">
        <v>40.11</v>
      </c>
    </row>
    <row r="45" spans="1:6" ht="15" customHeight="1" x14ac:dyDescent="0.25">
      <c r="A45" s="20">
        <v>88247</v>
      </c>
      <c r="B45" s="9" t="s">
        <v>1016</v>
      </c>
      <c r="C45" s="35" t="s">
        <v>981</v>
      </c>
      <c r="D45" s="17">
        <f t="shared" si="0"/>
        <v>15.47</v>
      </c>
      <c r="E45" s="17">
        <v>14.01</v>
      </c>
      <c r="F45" s="17">
        <v>15.47</v>
      </c>
    </row>
    <row r="46" spans="1:6" ht="15" customHeight="1" x14ac:dyDescent="0.25">
      <c r="A46" s="20">
        <v>88248</v>
      </c>
      <c r="B46" s="9" t="s">
        <v>1017</v>
      </c>
      <c r="C46" s="35" t="s">
        <v>981</v>
      </c>
      <c r="D46" s="17">
        <f t="shared" si="0"/>
        <v>14.96</v>
      </c>
      <c r="E46" s="17">
        <v>13.51</v>
      </c>
      <c r="F46" s="17">
        <v>14.96</v>
      </c>
    </row>
    <row r="47" spans="1:6" ht="15" customHeight="1" x14ac:dyDescent="0.25">
      <c r="A47" s="20">
        <v>88256</v>
      </c>
      <c r="B47" s="9" t="s">
        <v>1018</v>
      </c>
      <c r="C47" s="35" t="s">
        <v>981</v>
      </c>
      <c r="D47" s="17">
        <f t="shared" si="0"/>
        <v>23.26</v>
      </c>
      <c r="E47" s="17">
        <v>20.73</v>
      </c>
      <c r="F47" s="17">
        <v>23.26</v>
      </c>
    </row>
    <row r="48" spans="1:6" ht="15" customHeight="1" x14ac:dyDescent="0.25">
      <c r="A48" s="16" t="s">
        <v>397</v>
      </c>
      <c r="B48" s="9" t="s">
        <v>1019</v>
      </c>
      <c r="C48" s="35" t="s">
        <v>219</v>
      </c>
      <c r="D48" s="17">
        <f t="shared" si="0"/>
        <v>372.99</v>
      </c>
      <c r="E48" s="17">
        <v>372.99</v>
      </c>
      <c r="F48" s="17">
        <v>372.99</v>
      </c>
    </row>
    <row r="49" spans="1:6" ht="15" customHeight="1" x14ac:dyDescent="0.25">
      <c r="A49" s="20">
        <v>88831</v>
      </c>
      <c r="B49" s="9" t="s">
        <v>1020</v>
      </c>
      <c r="C49" s="35" t="s">
        <v>1021</v>
      </c>
      <c r="D49" s="17">
        <f t="shared" si="0"/>
        <v>0.41</v>
      </c>
      <c r="E49" s="17">
        <v>0.41</v>
      </c>
      <c r="F49" s="17">
        <v>0.41</v>
      </c>
    </row>
    <row r="50" spans="1:6" ht="15" customHeight="1" x14ac:dyDescent="0.25">
      <c r="A50" s="20">
        <v>88830</v>
      </c>
      <c r="B50" s="9" t="s">
        <v>1022</v>
      </c>
      <c r="C50" s="35" t="s">
        <v>1023</v>
      </c>
      <c r="D50" s="17">
        <f t="shared" si="0"/>
        <v>1.7</v>
      </c>
      <c r="E50" s="17">
        <v>1.7</v>
      </c>
      <c r="F50" s="17">
        <v>1.7</v>
      </c>
    </row>
    <row r="51" spans="1:6" ht="15" customHeight="1" x14ac:dyDescent="0.25">
      <c r="A51" s="20">
        <v>88826</v>
      </c>
      <c r="B51" s="9" t="s">
        <v>1024</v>
      </c>
      <c r="C51" s="35" t="s">
        <v>981</v>
      </c>
      <c r="D51" s="17">
        <f t="shared" si="0"/>
        <v>0.37</v>
      </c>
      <c r="E51" s="17">
        <v>0.37</v>
      </c>
      <c r="F51" s="17">
        <v>0.37</v>
      </c>
    </row>
    <row r="52" spans="1:6" ht="15" customHeight="1" x14ac:dyDescent="0.25">
      <c r="A52" s="20">
        <v>88827</v>
      </c>
      <c r="B52" s="9" t="s">
        <v>1025</v>
      </c>
      <c r="C52" s="35" t="s">
        <v>981</v>
      </c>
      <c r="D52" s="17">
        <f t="shared" si="0"/>
        <v>0.04</v>
      </c>
      <c r="E52" s="17">
        <v>0.04</v>
      </c>
      <c r="F52" s="17">
        <v>0.04</v>
      </c>
    </row>
    <row r="53" spans="1:6" ht="15" customHeight="1" x14ac:dyDescent="0.25">
      <c r="A53" s="20">
        <v>88828</v>
      </c>
      <c r="B53" s="9" t="s">
        <v>1026</v>
      </c>
      <c r="C53" s="35" t="s">
        <v>981</v>
      </c>
      <c r="D53" s="17">
        <f t="shared" si="0"/>
        <v>0.34</v>
      </c>
      <c r="E53" s="17">
        <v>0.34</v>
      </c>
      <c r="F53" s="17">
        <v>0.34</v>
      </c>
    </row>
    <row r="54" spans="1:6" ht="15" customHeight="1" x14ac:dyDescent="0.25">
      <c r="A54" s="20">
        <v>88829</v>
      </c>
      <c r="B54" s="9" t="s">
        <v>1027</v>
      </c>
      <c r="C54" s="35" t="s">
        <v>981</v>
      </c>
      <c r="D54" s="17">
        <f t="shared" si="0"/>
        <v>0.95</v>
      </c>
      <c r="E54" s="17">
        <v>0.95</v>
      </c>
      <c r="F54" s="17">
        <v>0.95</v>
      </c>
    </row>
    <row r="55" spans="1:6" ht="15" customHeight="1" x14ac:dyDescent="0.25">
      <c r="A55" s="20">
        <v>89226</v>
      </c>
      <c r="B55" s="9" t="s">
        <v>1028</v>
      </c>
      <c r="C55" s="35" t="s">
        <v>1021</v>
      </c>
      <c r="D55" s="17">
        <f t="shared" si="0"/>
        <v>1.67</v>
      </c>
      <c r="E55" s="17">
        <v>1.67</v>
      </c>
      <c r="F55" s="17">
        <v>1.67</v>
      </c>
    </row>
    <row r="56" spans="1:6" ht="15" customHeight="1" x14ac:dyDescent="0.25">
      <c r="A56" s="20">
        <v>89225</v>
      </c>
      <c r="B56" s="9" t="s">
        <v>1029</v>
      </c>
      <c r="C56" s="35" t="s">
        <v>1023</v>
      </c>
      <c r="D56" s="17">
        <f t="shared" si="0"/>
        <v>4.9800000000000004</v>
      </c>
      <c r="E56" s="17">
        <v>4.9800000000000004</v>
      </c>
      <c r="F56" s="17">
        <v>4.9800000000000004</v>
      </c>
    </row>
    <row r="57" spans="1:6" ht="15" customHeight="1" x14ac:dyDescent="0.25">
      <c r="A57" s="20">
        <v>89221</v>
      </c>
      <c r="B57" s="9" t="s">
        <v>1030</v>
      </c>
      <c r="C57" s="35" t="s">
        <v>981</v>
      </c>
      <c r="D57" s="17">
        <f t="shared" si="0"/>
        <v>1.5</v>
      </c>
      <c r="E57" s="17">
        <v>1.5</v>
      </c>
      <c r="F57" s="17">
        <v>1.5</v>
      </c>
    </row>
    <row r="58" spans="1:6" ht="15" customHeight="1" x14ac:dyDescent="0.25">
      <c r="A58" s="20">
        <v>89222</v>
      </c>
      <c r="B58" s="9" t="s">
        <v>1031</v>
      </c>
      <c r="C58" s="35" t="s">
        <v>981</v>
      </c>
      <c r="D58" s="17">
        <f t="shared" si="0"/>
        <v>0.17</v>
      </c>
      <c r="E58" s="17">
        <v>0.17</v>
      </c>
      <c r="F58" s="17">
        <v>0.17</v>
      </c>
    </row>
    <row r="59" spans="1:6" ht="15" customHeight="1" x14ac:dyDescent="0.25">
      <c r="A59" s="20">
        <v>89223</v>
      </c>
      <c r="B59" s="9" t="s">
        <v>1032</v>
      </c>
      <c r="C59" s="35" t="s">
        <v>981</v>
      </c>
      <c r="D59" s="17">
        <f t="shared" si="0"/>
        <v>1.41</v>
      </c>
      <c r="E59" s="17">
        <v>1.41</v>
      </c>
      <c r="F59" s="17">
        <v>1.41</v>
      </c>
    </row>
    <row r="60" spans="1:6" ht="15" customHeight="1" x14ac:dyDescent="0.25">
      <c r="A60" s="20">
        <v>89224</v>
      </c>
      <c r="B60" s="9" t="s">
        <v>1033</v>
      </c>
      <c r="C60" s="35" t="s">
        <v>981</v>
      </c>
      <c r="D60" s="17">
        <f t="shared" si="0"/>
        <v>1.9</v>
      </c>
      <c r="E60" s="17">
        <v>1.9</v>
      </c>
      <c r="F60" s="17">
        <v>1.9</v>
      </c>
    </row>
    <row r="61" spans="1:6" ht="15" customHeight="1" x14ac:dyDescent="0.25">
      <c r="A61" s="20">
        <v>91927</v>
      </c>
      <c r="B61" s="9" t="s">
        <v>1034</v>
      </c>
      <c r="C61" s="35" t="s">
        <v>970</v>
      </c>
      <c r="D61" s="17">
        <f t="shared" si="0"/>
        <v>5.16</v>
      </c>
      <c r="E61" s="17">
        <v>5.05</v>
      </c>
      <c r="F61" s="17">
        <v>5.16</v>
      </c>
    </row>
    <row r="62" spans="1:6" ht="15" customHeight="1" x14ac:dyDescent="0.25">
      <c r="A62" s="20">
        <v>91928</v>
      </c>
      <c r="B62" s="9" t="s">
        <v>1035</v>
      </c>
      <c r="C62" s="35" t="s">
        <v>970</v>
      </c>
      <c r="D62" s="17">
        <f t="shared" si="0"/>
        <v>6.35</v>
      </c>
      <c r="E62" s="17">
        <v>6.21</v>
      </c>
      <c r="F62" s="17">
        <v>6.35</v>
      </c>
    </row>
    <row r="63" spans="1:6" ht="15" customHeight="1" x14ac:dyDescent="0.25">
      <c r="A63" s="20">
        <v>91931</v>
      </c>
      <c r="B63" s="9" t="s">
        <v>1036</v>
      </c>
      <c r="C63" s="35" t="s">
        <v>970</v>
      </c>
      <c r="D63" s="17">
        <f t="shared" si="0"/>
        <v>9.85</v>
      </c>
      <c r="E63" s="17">
        <v>9.66</v>
      </c>
      <c r="F63" s="17">
        <v>9.85</v>
      </c>
    </row>
    <row r="64" spans="1:6" ht="15" customHeight="1" x14ac:dyDescent="0.25">
      <c r="A64" s="16" t="s">
        <v>329</v>
      </c>
      <c r="B64" s="9" t="s">
        <v>1037</v>
      </c>
      <c r="C64" s="35" t="s">
        <v>970</v>
      </c>
      <c r="D64" s="17">
        <f t="shared" si="0"/>
        <v>10.76</v>
      </c>
      <c r="E64" s="17">
        <v>10.76</v>
      </c>
      <c r="F64" s="17">
        <v>10.76</v>
      </c>
    </row>
    <row r="65" spans="1:6" ht="15" customHeight="1" x14ac:dyDescent="0.25">
      <c r="A65" s="16" t="s">
        <v>335</v>
      </c>
      <c r="B65" s="9" t="s">
        <v>1038</v>
      </c>
      <c r="C65" s="35" t="s">
        <v>976</v>
      </c>
      <c r="D65" s="17">
        <f t="shared" si="0"/>
        <v>109.14</v>
      </c>
      <c r="E65" s="17">
        <v>109.14</v>
      </c>
      <c r="F65" s="17">
        <v>109.14</v>
      </c>
    </row>
    <row r="66" spans="1:6" ht="15" customHeight="1" x14ac:dyDescent="0.25">
      <c r="A66" s="16" t="s">
        <v>415</v>
      </c>
      <c r="B66" s="9" t="s">
        <v>1039</v>
      </c>
      <c r="C66" s="35" t="s">
        <v>979</v>
      </c>
      <c r="D66" s="17">
        <f t="shared" ref="D66:D129" si="1">IF(ONERA="COM DESONERAÇÃO",E66,F66)</f>
        <v>498.03</v>
      </c>
      <c r="E66" s="17">
        <v>498.03</v>
      </c>
      <c r="F66" s="17">
        <v>498.03</v>
      </c>
    </row>
    <row r="67" spans="1:6" ht="15" customHeight="1" x14ac:dyDescent="0.25">
      <c r="A67" s="16" t="s">
        <v>330</v>
      </c>
      <c r="B67" s="9" t="s">
        <v>1040</v>
      </c>
      <c r="C67" s="35" t="s">
        <v>979</v>
      </c>
      <c r="D67" s="17">
        <f t="shared" si="1"/>
        <v>123.78</v>
      </c>
      <c r="E67" s="17">
        <v>123.78</v>
      </c>
      <c r="F67" s="17">
        <v>123.78</v>
      </c>
    </row>
    <row r="68" spans="1:6" ht="15" customHeight="1" x14ac:dyDescent="0.25">
      <c r="A68" s="16" t="s">
        <v>430</v>
      </c>
      <c r="B68" s="9" t="s">
        <v>1041</v>
      </c>
      <c r="C68" s="35" t="s">
        <v>979</v>
      </c>
      <c r="D68" s="17">
        <f t="shared" si="1"/>
        <v>510.66</v>
      </c>
      <c r="E68" s="17">
        <v>510.66</v>
      </c>
      <c r="F68" s="17">
        <v>510.66</v>
      </c>
    </row>
    <row r="69" spans="1:6" ht="15" customHeight="1" x14ac:dyDescent="0.25">
      <c r="A69" s="20">
        <v>5903</v>
      </c>
      <c r="B69" s="9" t="s">
        <v>1042</v>
      </c>
      <c r="C69" s="35" t="s">
        <v>1021</v>
      </c>
      <c r="D69" s="17">
        <f t="shared" si="1"/>
        <v>43.18</v>
      </c>
      <c r="E69" s="17">
        <v>40.69</v>
      </c>
      <c r="F69" s="17">
        <v>43.18</v>
      </c>
    </row>
    <row r="70" spans="1:6" ht="15" customHeight="1" x14ac:dyDescent="0.25">
      <c r="A70" s="20">
        <v>5901</v>
      </c>
      <c r="B70" s="9" t="s">
        <v>1043</v>
      </c>
      <c r="C70" s="35" t="s">
        <v>1023</v>
      </c>
      <c r="D70" s="17">
        <f t="shared" si="1"/>
        <v>224.56</v>
      </c>
      <c r="E70" s="17">
        <v>222.07</v>
      </c>
      <c r="F70" s="17">
        <v>224.56</v>
      </c>
    </row>
    <row r="71" spans="1:6" ht="15" customHeight="1" x14ac:dyDescent="0.25">
      <c r="A71" s="20">
        <v>91396</v>
      </c>
      <c r="B71" s="9" t="s">
        <v>1044</v>
      </c>
      <c r="C71" s="35" t="s">
        <v>981</v>
      </c>
      <c r="D71" s="17">
        <f t="shared" si="1"/>
        <v>16.3</v>
      </c>
      <c r="E71" s="17">
        <v>16.3</v>
      </c>
      <c r="F71" s="17">
        <v>16.3</v>
      </c>
    </row>
    <row r="72" spans="1:6" ht="15" customHeight="1" x14ac:dyDescent="0.25">
      <c r="A72" s="20">
        <v>91398</v>
      </c>
      <c r="B72" s="9" t="s">
        <v>1045</v>
      </c>
      <c r="C72" s="35" t="s">
        <v>981</v>
      </c>
      <c r="D72" s="17">
        <f t="shared" si="1"/>
        <v>1.32</v>
      </c>
      <c r="E72" s="17">
        <v>1.32</v>
      </c>
      <c r="F72" s="17">
        <v>1.32</v>
      </c>
    </row>
    <row r="73" spans="1:6" ht="15" customHeight="1" x14ac:dyDescent="0.25">
      <c r="A73" s="20">
        <v>91397</v>
      </c>
      <c r="B73" s="9" t="s">
        <v>1046</v>
      </c>
      <c r="C73" s="35" t="s">
        <v>981</v>
      </c>
      <c r="D73" s="17">
        <f t="shared" si="1"/>
        <v>3.41</v>
      </c>
      <c r="E73" s="17">
        <v>3.41</v>
      </c>
      <c r="F73" s="17">
        <v>3.41</v>
      </c>
    </row>
    <row r="74" spans="1:6" ht="15" customHeight="1" x14ac:dyDescent="0.25">
      <c r="A74" s="20">
        <v>5763</v>
      </c>
      <c r="B74" s="9" t="s">
        <v>1047</v>
      </c>
      <c r="C74" s="35" t="s">
        <v>981</v>
      </c>
      <c r="D74" s="17">
        <f t="shared" si="1"/>
        <v>30.55</v>
      </c>
      <c r="E74" s="17">
        <v>30.55</v>
      </c>
      <c r="F74" s="17">
        <v>30.55</v>
      </c>
    </row>
    <row r="75" spans="1:6" ht="15" customHeight="1" x14ac:dyDescent="0.25">
      <c r="A75" s="20">
        <v>53831</v>
      </c>
      <c r="B75" s="9" t="s">
        <v>1048</v>
      </c>
      <c r="C75" s="35" t="s">
        <v>981</v>
      </c>
      <c r="D75" s="17">
        <f t="shared" si="1"/>
        <v>150.83000000000001</v>
      </c>
      <c r="E75" s="17">
        <v>150.83000000000001</v>
      </c>
      <c r="F75" s="17">
        <v>150.83000000000001</v>
      </c>
    </row>
    <row r="76" spans="1:6" ht="15" customHeight="1" x14ac:dyDescent="0.25">
      <c r="A76" s="20">
        <v>88262</v>
      </c>
      <c r="B76" s="9" t="s">
        <v>1049</v>
      </c>
      <c r="C76" s="35" t="s">
        <v>981</v>
      </c>
      <c r="D76" s="17">
        <f t="shared" si="1"/>
        <v>19.649999999999999</v>
      </c>
      <c r="E76" s="17">
        <v>17.600000000000001</v>
      </c>
      <c r="F76" s="17">
        <v>19.649999999999999</v>
      </c>
    </row>
    <row r="77" spans="1:6" ht="15" customHeight="1" x14ac:dyDescent="0.25">
      <c r="A77" s="20">
        <v>87905</v>
      </c>
      <c r="B77" s="9" t="s">
        <v>1050</v>
      </c>
      <c r="C77" s="35" t="s">
        <v>219</v>
      </c>
      <c r="D77" s="17">
        <f t="shared" si="1"/>
        <v>6.85</v>
      </c>
      <c r="E77" s="17">
        <v>6.3</v>
      </c>
      <c r="F77" s="17">
        <v>6.85</v>
      </c>
    </row>
    <row r="78" spans="1:6" ht="15" customHeight="1" x14ac:dyDescent="0.25">
      <c r="A78" s="16" t="s">
        <v>438</v>
      </c>
      <c r="B78" s="9" t="s">
        <v>1051</v>
      </c>
      <c r="C78" s="35" t="s">
        <v>219</v>
      </c>
      <c r="D78" s="17">
        <f t="shared" si="1"/>
        <v>5.36</v>
      </c>
      <c r="E78" s="17">
        <v>5.36</v>
      </c>
      <c r="F78" s="17">
        <v>5.36</v>
      </c>
    </row>
    <row r="79" spans="1:6" ht="15" customHeight="1" x14ac:dyDescent="0.25">
      <c r="A79" s="20">
        <v>90466</v>
      </c>
      <c r="B79" s="9" t="s">
        <v>1052</v>
      </c>
      <c r="C79" s="35" t="s">
        <v>970</v>
      </c>
      <c r="D79" s="17">
        <f t="shared" si="1"/>
        <v>9.9700000000000006</v>
      </c>
      <c r="E79" s="17">
        <v>9.0399999999999991</v>
      </c>
      <c r="F79" s="17">
        <v>9.9700000000000006</v>
      </c>
    </row>
    <row r="80" spans="1:6" ht="15" customHeight="1" x14ac:dyDescent="0.25">
      <c r="A80" s="20">
        <v>91192</v>
      </c>
      <c r="B80" s="9" t="s">
        <v>1053</v>
      </c>
      <c r="C80" s="35" t="s">
        <v>979</v>
      </c>
      <c r="D80" s="17">
        <f t="shared" si="1"/>
        <v>4.5</v>
      </c>
      <c r="E80" s="17">
        <v>4.07</v>
      </c>
      <c r="F80" s="17">
        <v>4.5</v>
      </c>
    </row>
    <row r="81" spans="1:6" ht="15" customHeight="1" x14ac:dyDescent="0.25">
      <c r="A81" s="20">
        <v>91190</v>
      </c>
      <c r="B81" s="9" t="s">
        <v>1054</v>
      </c>
      <c r="C81" s="35" t="s">
        <v>979</v>
      </c>
      <c r="D81" s="17">
        <f t="shared" si="1"/>
        <v>3.84</v>
      </c>
      <c r="E81" s="17">
        <v>3.48</v>
      </c>
      <c r="F81" s="17">
        <v>3.84</v>
      </c>
    </row>
    <row r="82" spans="1:6" ht="15" customHeight="1" x14ac:dyDescent="0.25">
      <c r="A82" s="16" t="s">
        <v>463</v>
      </c>
      <c r="B82" s="9" t="s">
        <v>1055</v>
      </c>
      <c r="C82" s="35" t="s">
        <v>979</v>
      </c>
      <c r="D82" s="17">
        <f t="shared" si="1"/>
        <v>48.05</v>
      </c>
      <c r="E82" s="17">
        <v>48.05</v>
      </c>
      <c r="F82" s="17">
        <v>48.05</v>
      </c>
    </row>
    <row r="83" spans="1:6" ht="15" customHeight="1" x14ac:dyDescent="0.25">
      <c r="A83" s="16" t="s">
        <v>315</v>
      </c>
      <c r="B83" s="9" t="s">
        <v>1056</v>
      </c>
      <c r="C83" s="35" t="s">
        <v>974</v>
      </c>
      <c r="D83" s="17">
        <f t="shared" si="1"/>
        <v>13.53</v>
      </c>
      <c r="E83" s="17">
        <v>13.53</v>
      </c>
      <c r="F83" s="17">
        <v>13.53</v>
      </c>
    </row>
    <row r="84" spans="1:6" ht="15" customHeight="1" x14ac:dyDescent="0.25">
      <c r="A84" s="20">
        <v>91534</v>
      </c>
      <c r="B84" s="9" t="s">
        <v>1057</v>
      </c>
      <c r="C84" s="35" t="s">
        <v>1021</v>
      </c>
      <c r="D84" s="17">
        <f t="shared" si="1"/>
        <v>25.8</v>
      </c>
      <c r="E84" s="17">
        <v>22.91</v>
      </c>
      <c r="F84" s="17">
        <v>25.8</v>
      </c>
    </row>
    <row r="85" spans="1:6" ht="15" customHeight="1" x14ac:dyDescent="0.25">
      <c r="A85" s="20">
        <v>91533</v>
      </c>
      <c r="B85" s="9" t="s">
        <v>1058</v>
      </c>
      <c r="C85" s="35" t="s">
        <v>1023</v>
      </c>
      <c r="D85" s="17">
        <f t="shared" si="1"/>
        <v>32.82</v>
      </c>
      <c r="E85" s="17">
        <v>29.93</v>
      </c>
      <c r="F85" s="17">
        <v>32.82</v>
      </c>
    </row>
    <row r="86" spans="1:6" ht="15" customHeight="1" x14ac:dyDescent="0.25">
      <c r="A86" s="20">
        <v>91529</v>
      </c>
      <c r="B86" s="9" t="s">
        <v>1059</v>
      </c>
      <c r="C86" s="35" t="s">
        <v>981</v>
      </c>
      <c r="D86" s="17">
        <f t="shared" si="1"/>
        <v>0.67</v>
      </c>
      <c r="E86" s="17">
        <v>0.67</v>
      </c>
      <c r="F86" s="17">
        <v>0.67</v>
      </c>
    </row>
    <row r="87" spans="1:6" ht="15" customHeight="1" x14ac:dyDescent="0.25">
      <c r="A87" s="20">
        <v>91530</v>
      </c>
      <c r="B87" s="9" t="s">
        <v>1060</v>
      </c>
      <c r="C87" s="35" t="s">
        <v>981</v>
      </c>
      <c r="D87" s="17">
        <f t="shared" si="1"/>
        <v>0.09</v>
      </c>
      <c r="E87" s="17">
        <v>0.09</v>
      </c>
      <c r="F87" s="17">
        <v>0.09</v>
      </c>
    </row>
    <row r="88" spans="1:6" ht="15" customHeight="1" x14ac:dyDescent="0.25">
      <c r="A88" s="20">
        <v>91531</v>
      </c>
      <c r="B88" s="9" t="s">
        <v>1061</v>
      </c>
      <c r="C88" s="35" t="s">
        <v>981</v>
      </c>
      <c r="D88" s="17">
        <f t="shared" si="1"/>
        <v>0.84</v>
      </c>
      <c r="E88" s="17">
        <v>0.84</v>
      </c>
      <c r="F88" s="17">
        <v>0.84</v>
      </c>
    </row>
    <row r="89" spans="1:6" ht="15" customHeight="1" x14ac:dyDescent="0.25">
      <c r="A89" s="20">
        <v>91532</v>
      </c>
      <c r="B89" s="9" t="s">
        <v>1062</v>
      </c>
      <c r="C89" s="35" t="s">
        <v>981</v>
      </c>
      <c r="D89" s="17">
        <f t="shared" si="1"/>
        <v>6.18</v>
      </c>
      <c r="E89" s="17">
        <v>6.18</v>
      </c>
      <c r="F89" s="17">
        <v>6.18</v>
      </c>
    </row>
    <row r="90" spans="1:6" ht="15" customHeight="1" x14ac:dyDescent="0.25">
      <c r="A90" s="20">
        <v>94964</v>
      </c>
      <c r="B90" s="9" t="s">
        <v>1063</v>
      </c>
      <c r="C90" s="35" t="s">
        <v>974</v>
      </c>
      <c r="D90" s="17">
        <f t="shared" si="1"/>
        <v>393.28</v>
      </c>
      <c r="E90" s="17">
        <v>386.08</v>
      </c>
      <c r="F90" s="17">
        <v>393.28</v>
      </c>
    </row>
    <row r="91" spans="1:6" ht="15" customHeight="1" x14ac:dyDescent="0.25">
      <c r="A91" s="20">
        <v>94962</v>
      </c>
      <c r="B91" s="9" t="s">
        <v>1064</v>
      </c>
      <c r="C91" s="35" t="s">
        <v>974</v>
      </c>
      <c r="D91" s="17">
        <f t="shared" si="1"/>
        <v>313.14</v>
      </c>
      <c r="E91" s="17">
        <v>306.48</v>
      </c>
      <c r="F91" s="17">
        <v>313.14</v>
      </c>
    </row>
    <row r="92" spans="1:6" ht="15" customHeight="1" x14ac:dyDescent="0.25">
      <c r="A92" s="16" t="s">
        <v>668</v>
      </c>
      <c r="B92" s="9" t="s">
        <v>1065</v>
      </c>
      <c r="C92" s="35" t="s">
        <v>974</v>
      </c>
      <c r="D92" s="17">
        <f t="shared" si="1"/>
        <v>418.61</v>
      </c>
      <c r="E92" s="17">
        <v>418.61</v>
      </c>
      <c r="F92" s="17">
        <v>418.61</v>
      </c>
    </row>
    <row r="93" spans="1:6" ht="15" customHeight="1" x14ac:dyDescent="0.25">
      <c r="A93" s="16" t="s">
        <v>433</v>
      </c>
      <c r="B93" s="9" t="s">
        <v>1066</v>
      </c>
      <c r="C93" s="35" t="s">
        <v>974</v>
      </c>
      <c r="D93" s="17">
        <f t="shared" si="1"/>
        <v>455.67</v>
      </c>
      <c r="E93" s="17">
        <v>455.67</v>
      </c>
      <c r="F93" s="17">
        <v>455.67</v>
      </c>
    </row>
    <row r="94" spans="1:6" ht="15" customHeight="1" x14ac:dyDescent="0.25">
      <c r="A94" s="16" t="s">
        <v>434</v>
      </c>
      <c r="B94" s="9" t="s">
        <v>1067</v>
      </c>
      <c r="C94" s="35" t="s">
        <v>974</v>
      </c>
      <c r="D94" s="17">
        <f t="shared" si="1"/>
        <v>478.52</v>
      </c>
      <c r="E94" s="17">
        <v>478.52</v>
      </c>
      <c r="F94" s="17">
        <v>478.52</v>
      </c>
    </row>
    <row r="95" spans="1:6" ht="15" customHeight="1" x14ac:dyDescent="0.25">
      <c r="A95" s="16" t="s">
        <v>671</v>
      </c>
      <c r="B95" s="9" t="s">
        <v>1068</v>
      </c>
      <c r="C95" s="35" t="s">
        <v>974</v>
      </c>
      <c r="D95" s="17">
        <f t="shared" si="1"/>
        <v>441.46</v>
      </c>
      <c r="E95" s="17">
        <v>441.46</v>
      </c>
      <c r="F95" s="17">
        <v>441.46</v>
      </c>
    </row>
    <row r="96" spans="1:6" ht="15" customHeight="1" x14ac:dyDescent="0.25">
      <c r="A96" s="16" t="s">
        <v>515</v>
      </c>
      <c r="B96" s="9" t="s">
        <v>1069</v>
      </c>
      <c r="C96" s="35" t="s">
        <v>974</v>
      </c>
      <c r="D96" s="17">
        <f t="shared" si="1"/>
        <v>401.04</v>
      </c>
      <c r="E96" s="17">
        <v>401.04</v>
      </c>
      <c r="F96" s="17">
        <v>401.04</v>
      </c>
    </row>
    <row r="97" spans="1:6" ht="15" customHeight="1" x14ac:dyDescent="0.25">
      <c r="A97" s="16" t="s">
        <v>327</v>
      </c>
      <c r="B97" s="9" t="s">
        <v>1070</v>
      </c>
      <c r="C97" s="35" t="s">
        <v>979</v>
      </c>
      <c r="D97" s="17">
        <f t="shared" si="1"/>
        <v>3.7</v>
      </c>
      <c r="E97" s="17">
        <v>3.7</v>
      </c>
      <c r="F97" s="17">
        <v>3.7</v>
      </c>
    </row>
    <row r="98" spans="1:6" ht="15" customHeight="1" x14ac:dyDescent="0.25">
      <c r="A98" s="20">
        <v>92794</v>
      </c>
      <c r="B98" s="9" t="s">
        <v>1071</v>
      </c>
      <c r="C98" s="35" t="s">
        <v>976</v>
      </c>
      <c r="D98" s="17">
        <f t="shared" si="1"/>
        <v>11.32</v>
      </c>
      <c r="E98" s="17">
        <v>11.3</v>
      </c>
      <c r="F98" s="17">
        <v>11.32</v>
      </c>
    </row>
    <row r="99" spans="1:6" ht="15" customHeight="1" x14ac:dyDescent="0.25">
      <c r="A99" s="20">
        <v>92795</v>
      </c>
      <c r="B99" s="9" t="s">
        <v>1072</v>
      </c>
      <c r="C99" s="35" t="s">
        <v>976</v>
      </c>
      <c r="D99" s="17">
        <f t="shared" si="1"/>
        <v>9.73</v>
      </c>
      <c r="E99" s="17">
        <v>9.7200000000000006</v>
      </c>
      <c r="F99" s="17">
        <v>9.73</v>
      </c>
    </row>
    <row r="100" spans="1:6" ht="15" customHeight="1" x14ac:dyDescent="0.25">
      <c r="A100" s="20">
        <v>92796</v>
      </c>
      <c r="B100" s="9" t="s">
        <v>1073</v>
      </c>
      <c r="C100" s="35" t="s">
        <v>976</v>
      </c>
      <c r="D100" s="17">
        <f t="shared" si="1"/>
        <v>9.66</v>
      </c>
      <c r="E100" s="17">
        <v>9.65</v>
      </c>
      <c r="F100" s="17">
        <v>9.66</v>
      </c>
    </row>
    <row r="101" spans="1:6" ht="15" customHeight="1" x14ac:dyDescent="0.25">
      <c r="A101" s="20">
        <v>92797</v>
      </c>
      <c r="B101" s="9" t="s">
        <v>1074</v>
      </c>
      <c r="C101" s="35" t="s">
        <v>976</v>
      </c>
      <c r="D101" s="17">
        <f t="shared" si="1"/>
        <v>11.38</v>
      </c>
      <c r="E101" s="17">
        <v>11.38</v>
      </c>
      <c r="F101" s="17">
        <v>11.38</v>
      </c>
    </row>
    <row r="102" spans="1:6" ht="15" customHeight="1" x14ac:dyDescent="0.25">
      <c r="A102" s="20">
        <v>92798</v>
      </c>
      <c r="B102" s="9" t="s">
        <v>1075</v>
      </c>
      <c r="C102" s="35" t="s">
        <v>976</v>
      </c>
      <c r="D102" s="17">
        <f t="shared" si="1"/>
        <v>11.37</v>
      </c>
      <c r="E102" s="17">
        <v>11.36</v>
      </c>
      <c r="F102" s="17">
        <v>11.37</v>
      </c>
    </row>
    <row r="103" spans="1:6" ht="15" customHeight="1" x14ac:dyDescent="0.25">
      <c r="A103" s="20">
        <v>92792</v>
      </c>
      <c r="B103" s="9" t="s">
        <v>1076</v>
      </c>
      <c r="C103" s="35" t="s">
        <v>976</v>
      </c>
      <c r="D103" s="17">
        <f t="shared" si="1"/>
        <v>12.15</v>
      </c>
      <c r="E103" s="17">
        <v>12.07</v>
      </c>
      <c r="F103" s="17">
        <v>12.15</v>
      </c>
    </row>
    <row r="104" spans="1:6" ht="15" customHeight="1" x14ac:dyDescent="0.25">
      <c r="A104" s="20">
        <v>92801</v>
      </c>
      <c r="B104" s="9" t="s">
        <v>1077</v>
      </c>
      <c r="C104" s="35" t="s">
        <v>976</v>
      </c>
      <c r="D104" s="17">
        <f t="shared" si="1"/>
        <v>11.92</v>
      </c>
      <c r="E104" s="17">
        <v>11.85</v>
      </c>
      <c r="F104" s="17">
        <v>11.92</v>
      </c>
    </row>
    <row r="105" spans="1:6" ht="15" customHeight="1" x14ac:dyDescent="0.25">
      <c r="A105" s="20">
        <v>92793</v>
      </c>
      <c r="B105" s="9" t="s">
        <v>1078</v>
      </c>
      <c r="C105" s="35" t="s">
        <v>976</v>
      </c>
      <c r="D105" s="17">
        <f t="shared" si="1"/>
        <v>12.22</v>
      </c>
      <c r="E105" s="17">
        <v>12.17</v>
      </c>
      <c r="F105" s="17">
        <v>12.22</v>
      </c>
    </row>
    <row r="106" spans="1:6" ht="15" customHeight="1" x14ac:dyDescent="0.25">
      <c r="A106" s="20">
        <v>92802</v>
      </c>
      <c r="B106" s="9" t="s">
        <v>1079</v>
      </c>
      <c r="C106" s="35" t="s">
        <v>976</v>
      </c>
      <c r="D106" s="17">
        <f t="shared" si="1"/>
        <v>12.08</v>
      </c>
      <c r="E106" s="17">
        <v>12.05</v>
      </c>
      <c r="F106" s="17">
        <v>12.08</v>
      </c>
    </row>
    <row r="107" spans="1:6" ht="15" customHeight="1" x14ac:dyDescent="0.25">
      <c r="A107" s="20">
        <v>92791</v>
      </c>
      <c r="B107" s="9" t="s">
        <v>1080</v>
      </c>
      <c r="C107" s="35" t="s">
        <v>976</v>
      </c>
      <c r="D107" s="17">
        <f t="shared" si="1"/>
        <v>11.77</v>
      </c>
      <c r="E107" s="17">
        <v>11.6</v>
      </c>
      <c r="F107" s="17">
        <v>11.77</v>
      </c>
    </row>
    <row r="108" spans="1:6" ht="15" customHeight="1" x14ac:dyDescent="0.25">
      <c r="A108" s="20">
        <v>92800</v>
      </c>
      <c r="B108" s="9" t="s">
        <v>1081</v>
      </c>
      <c r="C108" s="35" t="s">
        <v>976</v>
      </c>
      <c r="D108" s="17">
        <f t="shared" si="1"/>
        <v>11.36</v>
      </c>
      <c r="E108" s="17">
        <v>11.23</v>
      </c>
      <c r="F108" s="17">
        <v>11.36</v>
      </c>
    </row>
    <row r="109" spans="1:6" ht="15" customHeight="1" x14ac:dyDescent="0.25">
      <c r="A109" s="20">
        <v>98530</v>
      </c>
      <c r="B109" s="9" t="s">
        <v>1082</v>
      </c>
      <c r="C109" s="35" t="s">
        <v>979</v>
      </c>
      <c r="D109" s="17">
        <f t="shared" si="1"/>
        <v>95.01</v>
      </c>
      <c r="E109" s="17">
        <v>85.55</v>
      </c>
      <c r="F109" s="17">
        <v>95.01</v>
      </c>
    </row>
    <row r="110" spans="1:6" ht="15" customHeight="1" x14ac:dyDescent="0.25">
      <c r="A110" s="20">
        <v>95308</v>
      </c>
      <c r="B110" s="9" t="s">
        <v>1083</v>
      </c>
      <c r="C110" s="35" t="s">
        <v>981</v>
      </c>
      <c r="D110" s="17">
        <f t="shared" si="1"/>
        <v>0.08</v>
      </c>
      <c r="E110" s="17">
        <v>7.0000000000000007E-2</v>
      </c>
      <c r="F110" s="17">
        <v>0.08</v>
      </c>
    </row>
    <row r="111" spans="1:6" ht="15" customHeight="1" x14ac:dyDescent="0.25">
      <c r="A111" s="20">
        <v>95309</v>
      </c>
      <c r="B111" s="9" t="s">
        <v>1084</v>
      </c>
      <c r="C111" s="35" t="s">
        <v>981</v>
      </c>
      <c r="D111" s="17">
        <f t="shared" si="1"/>
        <v>0.12</v>
      </c>
      <c r="E111" s="17">
        <v>0.1</v>
      </c>
      <c r="F111" s="17">
        <v>0.12</v>
      </c>
    </row>
    <row r="112" spans="1:6" ht="15" customHeight="1" x14ac:dyDescent="0.25">
      <c r="A112" s="20">
        <v>95313</v>
      </c>
      <c r="B112" s="9" t="s">
        <v>1085</v>
      </c>
      <c r="C112" s="35" t="s">
        <v>981</v>
      </c>
      <c r="D112" s="17">
        <f t="shared" si="1"/>
        <v>0.11</v>
      </c>
      <c r="E112" s="17">
        <v>0.09</v>
      </c>
      <c r="F112" s="17">
        <v>0.11</v>
      </c>
    </row>
    <row r="113" spans="1:6" ht="15" customHeight="1" x14ac:dyDescent="0.25">
      <c r="A113" s="20">
        <v>95314</v>
      </c>
      <c r="B113" s="9" t="s">
        <v>1086</v>
      </c>
      <c r="C113" s="35" t="s">
        <v>981</v>
      </c>
      <c r="D113" s="17">
        <f t="shared" si="1"/>
        <v>0.12</v>
      </c>
      <c r="E113" s="17">
        <v>0.1</v>
      </c>
      <c r="F113" s="17">
        <v>0.12</v>
      </c>
    </row>
    <row r="114" spans="1:6" ht="15" customHeight="1" x14ac:dyDescent="0.25">
      <c r="A114" s="20">
        <v>95316</v>
      </c>
      <c r="B114" s="9" t="s">
        <v>1087</v>
      </c>
      <c r="C114" s="35" t="s">
        <v>981</v>
      </c>
      <c r="D114" s="17">
        <f t="shared" si="1"/>
        <v>0.27</v>
      </c>
      <c r="E114" s="17">
        <v>0.24</v>
      </c>
      <c r="F114" s="17">
        <v>0.27</v>
      </c>
    </row>
    <row r="115" spans="1:6" ht="15" customHeight="1" x14ac:dyDescent="0.25">
      <c r="A115" s="20">
        <v>95317</v>
      </c>
      <c r="B115" s="9" t="s">
        <v>1088</v>
      </c>
      <c r="C115" s="35" t="s">
        <v>981</v>
      </c>
      <c r="D115" s="17">
        <f t="shared" si="1"/>
        <v>0.13</v>
      </c>
      <c r="E115" s="17">
        <v>0.11</v>
      </c>
      <c r="F115" s="17">
        <v>0.13</v>
      </c>
    </row>
    <row r="116" spans="1:6" ht="15" customHeight="1" x14ac:dyDescent="0.25">
      <c r="A116" s="20">
        <v>95324</v>
      </c>
      <c r="B116" s="9" t="s">
        <v>1089</v>
      </c>
      <c r="C116" s="35" t="s">
        <v>981</v>
      </c>
      <c r="D116" s="17">
        <f t="shared" si="1"/>
        <v>0.19</v>
      </c>
      <c r="E116" s="17">
        <v>0.16</v>
      </c>
      <c r="F116" s="17">
        <v>0.19</v>
      </c>
    </row>
    <row r="117" spans="1:6" ht="15" customHeight="1" x14ac:dyDescent="0.25">
      <c r="A117" s="20">
        <v>95330</v>
      </c>
      <c r="B117" s="9" t="s">
        <v>1090</v>
      </c>
      <c r="C117" s="35" t="s">
        <v>981</v>
      </c>
      <c r="D117" s="17">
        <f t="shared" si="1"/>
        <v>0.12</v>
      </c>
      <c r="E117" s="17">
        <v>0.1</v>
      </c>
      <c r="F117" s="17">
        <v>0.12</v>
      </c>
    </row>
    <row r="118" spans="1:6" ht="15" customHeight="1" x14ac:dyDescent="0.25">
      <c r="A118" s="20">
        <v>95332</v>
      </c>
      <c r="B118" s="9" t="s">
        <v>1091</v>
      </c>
      <c r="C118" s="35" t="s">
        <v>981</v>
      </c>
      <c r="D118" s="17">
        <f t="shared" si="1"/>
        <v>0.39</v>
      </c>
      <c r="E118" s="17">
        <v>0.34</v>
      </c>
      <c r="F118" s="17">
        <v>0.39</v>
      </c>
    </row>
    <row r="119" spans="1:6" ht="15" customHeight="1" x14ac:dyDescent="0.25">
      <c r="A119" s="20">
        <v>95335</v>
      </c>
      <c r="B119" s="9" t="s">
        <v>1092</v>
      </c>
      <c r="C119" s="35" t="s">
        <v>981</v>
      </c>
      <c r="D119" s="17">
        <f t="shared" si="1"/>
        <v>0.19</v>
      </c>
      <c r="E119" s="17">
        <v>0.16</v>
      </c>
      <c r="F119" s="17">
        <v>0.19</v>
      </c>
    </row>
    <row r="120" spans="1:6" ht="15" customHeight="1" x14ac:dyDescent="0.25">
      <c r="A120" s="20">
        <v>95401</v>
      </c>
      <c r="B120" s="9" t="s">
        <v>1093</v>
      </c>
      <c r="C120" s="35" t="s">
        <v>981</v>
      </c>
      <c r="D120" s="17">
        <f t="shared" si="1"/>
        <v>0.35</v>
      </c>
      <c r="E120" s="17">
        <v>0.3</v>
      </c>
      <c r="F120" s="17">
        <v>0.35</v>
      </c>
    </row>
    <row r="121" spans="1:6" ht="15" customHeight="1" x14ac:dyDescent="0.25">
      <c r="A121" s="20">
        <v>95402</v>
      </c>
      <c r="B121" s="9" t="s">
        <v>1094</v>
      </c>
      <c r="C121" s="35" t="s">
        <v>981</v>
      </c>
      <c r="D121" s="17">
        <f t="shared" si="1"/>
        <v>0.94</v>
      </c>
      <c r="E121" s="17">
        <v>0.81</v>
      </c>
      <c r="F121" s="17">
        <v>0.94</v>
      </c>
    </row>
    <row r="122" spans="1:6" ht="15" customHeight="1" x14ac:dyDescent="0.25">
      <c r="A122" s="20">
        <v>95338</v>
      </c>
      <c r="B122" s="9" t="s">
        <v>1095</v>
      </c>
      <c r="C122" s="35" t="s">
        <v>981</v>
      </c>
      <c r="D122" s="17">
        <f t="shared" si="1"/>
        <v>0.22</v>
      </c>
      <c r="E122" s="17">
        <v>0.19</v>
      </c>
      <c r="F122" s="17">
        <v>0.22</v>
      </c>
    </row>
    <row r="123" spans="1:6" ht="15" customHeight="1" x14ac:dyDescent="0.25">
      <c r="A123" s="20">
        <v>95390</v>
      </c>
      <c r="B123" s="9" t="s">
        <v>1096</v>
      </c>
      <c r="C123" s="35" t="s">
        <v>981</v>
      </c>
      <c r="D123" s="17">
        <f t="shared" si="1"/>
        <v>0.05</v>
      </c>
      <c r="E123" s="17">
        <v>0.04</v>
      </c>
      <c r="F123" s="17">
        <v>0.05</v>
      </c>
    </row>
    <row r="124" spans="1:6" ht="15" customHeight="1" x14ac:dyDescent="0.25">
      <c r="A124" s="20">
        <v>95341</v>
      </c>
      <c r="B124" s="9" t="s">
        <v>1097</v>
      </c>
      <c r="C124" s="35" t="s">
        <v>981</v>
      </c>
      <c r="D124" s="17">
        <f t="shared" si="1"/>
        <v>0.18</v>
      </c>
      <c r="E124" s="17">
        <v>0.15</v>
      </c>
      <c r="F124" s="17">
        <v>0.18</v>
      </c>
    </row>
    <row r="125" spans="1:6" ht="15" customHeight="1" x14ac:dyDescent="0.25">
      <c r="A125" s="20">
        <v>95405</v>
      </c>
      <c r="B125" s="9" t="s">
        <v>1098</v>
      </c>
      <c r="C125" s="35" t="s">
        <v>981</v>
      </c>
      <c r="D125" s="17">
        <f t="shared" si="1"/>
        <v>0.53</v>
      </c>
      <c r="E125" s="17">
        <v>0.46</v>
      </c>
      <c r="F125" s="17">
        <v>0.53</v>
      </c>
    </row>
    <row r="126" spans="1:6" ht="15" customHeight="1" x14ac:dyDescent="0.25">
      <c r="A126" s="20">
        <v>95344</v>
      </c>
      <c r="B126" s="9" t="s">
        <v>1099</v>
      </c>
      <c r="C126" s="35" t="s">
        <v>981</v>
      </c>
      <c r="D126" s="17">
        <f t="shared" si="1"/>
        <v>0.13</v>
      </c>
      <c r="E126" s="17">
        <v>0.11</v>
      </c>
      <c r="F126" s="17">
        <v>0.13</v>
      </c>
    </row>
    <row r="127" spans="1:6" ht="15" customHeight="1" x14ac:dyDescent="0.25">
      <c r="A127" s="20">
        <v>95347</v>
      </c>
      <c r="B127" s="9" t="s">
        <v>1100</v>
      </c>
      <c r="C127" s="35" t="s">
        <v>981</v>
      </c>
      <c r="D127" s="17">
        <f t="shared" si="1"/>
        <v>0.06</v>
      </c>
      <c r="E127" s="17">
        <v>0.05</v>
      </c>
      <c r="F127" s="17">
        <v>0.06</v>
      </c>
    </row>
    <row r="128" spans="1:6" ht="15" customHeight="1" x14ac:dyDescent="0.25">
      <c r="A128" s="20">
        <v>95389</v>
      </c>
      <c r="B128" s="9" t="s">
        <v>1101</v>
      </c>
      <c r="C128" s="35" t="s">
        <v>981</v>
      </c>
      <c r="D128" s="17">
        <f t="shared" si="1"/>
        <v>0.09</v>
      </c>
      <c r="E128" s="17">
        <v>0.08</v>
      </c>
      <c r="F128" s="17">
        <v>0.09</v>
      </c>
    </row>
    <row r="129" spans="1:6" ht="15" customHeight="1" x14ac:dyDescent="0.25">
      <c r="A129" s="20">
        <v>95358</v>
      </c>
      <c r="B129" s="9" t="s">
        <v>1102</v>
      </c>
      <c r="C129" s="35" t="s">
        <v>981</v>
      </c>
      <c r="D129" s="17">
        <f t="shared" si="1"/>
        <v>0.22</v>
      </c>
      <c r="E129" s="17">
        <v>0.19</v>
      </c>
      <c r="F129" s="17">
        <v>0.22</v>
      </c>
    </row>
    <row r="130" spans="1:6" ht="15" customHeight="1" x14ac:dyDescent="0.25">
      <c r="A130" s="20">
        <v>95359</v>
      </c>
      <c r="B130" s="9" t="s">
        <v>1103</v>
      </c>
      <c r="C130" s="35" t="s">
        <v>981</v>
      </c>
      <c r="D130" s="17">
        <f t="shared" ref="D130:D193" si="2">IF(ONERA="COM DESONERAÇÃO",E130,F130)</f>
        <v>0.22</v>
      </c>
      <c r="E130" s="17">
        <v>0.19</v>
      </c>
      <c r="F130" s="17">
        <v>0.22</v>
      </c>
    </row>
    <row r="131" spans="1:6" ht="15" customHeight="1" x14ac:dyDescent="0.25">
      <c r="A131" s="20">
        <v>95360</v>
      </c>
      <c r="B131" s="9" t="s">
        <v>1104</v>
      </c>
      <c r="C131" s="35" t="s">
        <v>981</v>
      </c>
      <c r="D131" s="17">
        <f t="shared" si="2"/>
        <v>0.17</v>
      </c>
      <c r="E131" s="17">
        <v>0.14000000000000001</v>
      </c>
      <c r="F131" s="17">
        <v>0.17</v>
      </c>
    </row>
    <row r="132" spans="1:6" ht="15" customHeight="1" x14ac:dyDescent="0.25">
      <c r="A132" s="20">
        <v>95371</v>
      </c>
      <c r="B132" s="9" t="s">
        <v>1105</v>
      </c>
      <c r="C132" s="35" t="s">
        <v>981</v>
      </c>
      <c r="D132" s="17">
        <f t="shared" si="2"/>
        <v>0.22</v>
      </c>
      <c r="E132" s="17">
        <v>0.19</v>
      </c>
      <c r="F132" s="17">
        <v>0.22</v>
      </c>
    </row>
    <row r="133" spans="1:6" ht="15" customHeight="1" x14ac:dyDescent="0.25">
      <c r="A133" s="20">
        <v>95372</v>
      </c>
      <c r="B133" s="9" t="s">
        <v>1106</v>
      </c>
      <c r="C133" s="35" t="s">
        <v>981</v>
      </c>
      <c r="D133" s="17">
        <f t="shared" si="2"/>
        <v>0.15</v>
      </c>
      <c r="E133" s="17">
        <v>0.13</v>
      </c>
      <c r="F133" s="17">
        <v>0.15</v>
      </c>
    </row>
    <row r="134" spans="1:6" ht="15" customHeight="1" x14ac:dyDescent="0.25">
      <c r="A134" s="20">
        <v>95378</v>
      </c>
      <c r="B134" s="9" t="s">
        <v>1107</v>
      </c>
      <c r="C134" s="35" t="s">
        <v>981</v>
      </c>
      <c r="D134" s="17">
        <f t="shared" si="2"/>
        <v>0.16</v>
      </c>
      <c r="E134" s="17">
        <v>0.13</v>
      </c>
      <c r="F134" s="17">
        <v>0.16</v>
      </c>
    </row>
    <row r="135" spans="1:6" ht="15" customHeight="1" x14ac:dyDescent="0.25">
      <c r="A135" s="20">
        <v>95385</v>
      </c>
      <c r="B135" s="9" t="s">
        <v>1108</v>
      </c>
      <c r="C135" s="35" t="s">
        <v>981</v>
      </c>
      <c r="D135" s="17">
        <f t="shared" si="2"/>
        <v>0.14000000000000001</v>
      </c>
      <c r="E135" s="17">
        <v>0.12</v>
      </c>
      <c r="F135" s="17">
        <v>0.14000000000000001</v>
      </c>
    </row>
    <row r="136" spans="1:6" ht="15" customHeight="1" x14ac:dyDescent="0.25">
      <c r="A136" s="20">
        <v>89748</v>
      </c>
      <c r="B136" s="9" t="s">
        <v>1109</v>
      </c>
      <c r="C136" s="35" t="s">
        <v>979</v>
      </c>
      <c r="D136" s="17">
        <f t="shared" si="2"/>
        <v>34.18</v>
      </c>
      <c r="E136" s="17">
        <v>33.29</v>
      </c>
      <c r="F136" s="17">
        <v>34.18</v>
      </c>
    </row>
    <row r="137" spans="1:6" ht="15" customHeight="1" x14ac:dyDescent="0.25">
      <c r="A137" s="16" t="s">
        <v>325</v>
      </c>
      <c r="B137" s="9" t="s">
        <v>1110</v>
      </c>
      <c r="C137" s="35" t="s">
        <v>979</v>
      </c>
      <c r="D137" s="17">
        <f t="shared" si="2"/>
        <v>5.14</v>
      </c>
      <c r="E137" s="17">
        <v>5.14</v>
      </c>
      <c r="F137" s="17">
        <v>5.14</v>
      </c>
    </row>
    <row r="138" spans="1:6" ht="15" customHeight="1" x14ac:dyDescent="0.25">
      <c r="A138" s="20">
        <v>97622</v>
      </c>
      <c r="B138" s="9" t="s">
        <v>1111</v>
      </c>
      <c r="C138" s="35" t="s">
        <v>974</v>
      </c>
      <c r="D138" s="17">
        <f t="shared" si="2"/>
        <v>40.14</v>
      </c>
      <c r="E138" s="17">
        <v>36.26</v>
      </c>
      <c r="F138" s="17">
        <v>40.14</v>
      </c>
    </row>
    <row r="139" spans="1:6" ht="15" customHeight="1" x14ac:dyDescent="0.25">
      <c r="A139" s="16" t="s">
        <v>472</v>
      </c>
      <c r="B139" s="9" t="s">
        <v>1112</v>
      </c>
      <c r="C139" s="35" t="s">
        <v>979</v>
      </c>
      <c r="D139" s="17">
        <f t="shared" si="2"/>
        <v>75.239999999999995</v>
      </c>
      <c r="E139" s="17">
        <v>75.239999999999995</v>
      </c>
      <c r="F139" s="17">
        <v>75.239999999999995</v>
      </c>
    </row>
    <row r="140" spans="1:6" ht="15" customHeight="1" x14ac:dyDescent="0.25">
      <c r="A140" s="20">
        <v>93654</v>
      </c>
      <c r="B140" s="9" t="s">
        <v>1113</v>
      </c>
      <c r="C140" s="35" t="s">
        <v>979</v>
      </c>
      <c r="D140" s="17">
        <f t="shared" si="2"/>
        <v>12.17</v>
      </c>
      <c r="E140" s="17">
        <v>12</v>
      </c>
      <c r="F140" s="17">
        <v>12.17</v>
      </c>
    </row>
    <row r="141" spans="1:6" ht="15" customHeight="1" x14ac:dyDescent="0.25">
      <c r="A141" s="20">
        <v>101890</v>
      </c>
      <c r="B141" s="9" t="s">
        <v>1114</v>
      </c>
      <c r="C141" s="35" t="s">
        <v>979</v>
      </c>
      <c r="D141" s="17">
        <f t="shared" si="2"/>
        <v>15.94</v>
      </c>
      <c r="E141" s="17">
        <v>15.7</v>
      </c>
      <c r="F141" s="17">
        <v>15.94</v>
      </c>
    </row>
    <row r="142" spans="1:6" ht="15" customHeight="1" x14ac:dyDescent="0.25">
      <c r="A142" s="16" t="s">
        <v>334</v>
      </c>
      <c r="B142" s="9" t="s">
        <v>1115</v>
      </c>
      <c r="C142" s="35" t="s">
        <v>979</v>
      </c>
      <c r="D142" s="17">
        <f t="shared" si="2"/>
        <v>16.79</v>
      </c>
      <c r="E142" s="17">
        <v>16.79</v>
      </c>
      <c r="F142" s="17">
        <v>16.79</v>
      </c>
    </row>
    <row r="143" spans="1:6" ht="15" customHeight="1" x14ac:dyDescent="0.25">
      <c r="A143" s="16" t="s">
        <v>475</v>
      </c>
      <c r="B143" s="9" t="s">
        <v>1116</v>
      </c>
      <c r="C143" s="35" t="s">
        <v>979</v>
      </c>
      <c r="D143" s="17">
        <f t="shared" si="2"/>
        <v>61.99</v>
      </c>
      <c r="E143" s="17">
        <v>61.99</v>
      </c>
      <c r="F143" s="17">
        <v>61.99</v>
      </c>
    </row>
    <row r="144" spans="1:6" ht="15" customHeight="1" x14ac:dyDescent="0.25">
      <c r="A144" s="16" t="s">
        <v>380</v>
      </c>
      <c r="B144" s="9" t="s">
        <v>1117</v>
      </c>
      <c r="C144" s="35" t="s">
        <v>219</v>
      </c>
      <c r="D144" s="17">
        <f t="shared" si="2"/>
        <v>510.07</v>
      </c>
      <c r="E144" s="17">
        <v>510.07</v>
      </c>
      <c r="F144" s="17">
        <v>510.07</v>
      </c>
    </row>
    <row r="145" spans="1:6" ht="15" customHeight="1" x14ac:dyDescent="0.25">
      <c r="A145" s="20">
        <v>88264</v>
      </c>
      <c r="B145" s="9" t="s">
        <v>1118</v>
      </c>
      <c r="C145" s="35" t="s">
        <v>981</v>
      </c>
      <c r="D145" s="17">
        <f t="shared" si="2"/>
        <v>20.02</v>
      </c>
      <c r="E145" s="17">
        <v>17.940000000000001</v>
      </c>
      <c r="F145" s="17">
        <v>20.02</v>
      </c>
    </row>
    <row r="146" spans="1:6" ht="15" customHeight="1" x14ac:dyDescent="0.25">
      <c r="A146" s="16" t="s">
        <v>324</v>
      </c>
      <c r="B146" s="9" t="s">
        <v>1119</v>
      </c>
      <c r="C146" s="35" t="s">
        <v>970</v>
      </c>
      <c r="D146" s="17">
        <f t="shared" si="2"/>
        <v>9.98</v>
      </c>
      <c r="E146" s="17">
        <v>9.98</v>
      </c>
      <c r="F146" s="17">
        <v>9.98</v>
      </c>
    </row>
    <row r="147" spans="1:6" ht="15" customHeight="1" x14ac:dyDescent="0.25">
      <c r="A147" s="20">
        <v>91834</v>
      </c>
      <c r="B147" s="9" t="s">
        <v>1120</v>
      </c>
      <c r="C147" s="35" t="s">
        <v>970</v>
      </c>
      <c r="D147" s="17">
        <f t="shared" si="2"/>
        <v>6.91</v>
      </c>
      <c r="E147" s="17">
        <v>6.51</v>
      </c>
      <c r="F147" s="17">
        <v>6.91</v>
      </c>
    </row>
    <row r="148" spans="1:6" ht="15" customHeight="1" x14ac:dyDescent="0.25">
      <c r="A148" s="20">
        <v>87531</v>
      </c>
      <c r="B148" s="9" t="s">
        <v>1121</v>
      </c>
      <c r="C148" s="35" t="s">
        <v>219</v>
      </c>
      <c r="D148" s="17">
        <f t="shared" si="2"/>
        <v>28.6</v>
      </c>
      <c r="E148" s="17">
        <v>27.12</v>
      </c>
      <c r="F148" s="17">
        <v>28.6</v>
      </c>
    </row>
    <row r="149" spans="1:6" ht="15" customHeight="1" x14ac:dyDescent="0.25">
      <c r="A149" s="20">
        <v>87527</v>
      </c>
      <c r="B149" s="9" t="s">
        <v>1122</v>
      </c>
      <c r="C149" s="35" t="s">
        <v>219</v>
      </c>
      <c r="D149" s="17">
        <f t="shared" si="2"/>
        <v>32.39</v>
      </c>
      <c r="E149" s="17">
        <v>30.52</v>
      </c>
      <c r="F149" s="17">
        <v>32.39</v>
      </c>
    </row>
    <row r="150" spans="1:6" ht="15" customHeight="1" x14ac:dyDescent="0.25">
      <c r="A150" s="20">
        <v>88267</v>
      </c>
      <c r="B150" s="9" t="s">
        <v>1123</v>
      </c>
      <c r="C150" s="35" t="s">
        <v>981</v>
      </c>
      <c r="D150" s="17">
        <f t="shared" si="2"/>
        <v>19.37</v>
      </c>
      <c r="E150" s="17">
        <v>17.309999999999999</v>
      </c>
      <c r="F150" s="17">
        <v>19.37</v>
      </c>
    </row>
    <row r="151" spans="1:6" ht="15" customHeight="1" x14ac:dyDescent="0.25">
      <c r="A151" s="16" t="s">
        <v>674</v>
      </c>
      <c r="B151" s="9" t="s">
        <v>1124</v>
      </c>
      <c r="C151" s="35" t="s">
        <v>981</v>
      </c>
      <c r="D151" s="17">
        <f t="shared" si="2"/>
        <v>2.82</v>
      </c>
      <c r="E151" s="17">
        <v>2.82</v>
      </c>
      <c r="F151" s="17">
        <v>2.82</v>
      </c>
    </row>
    <row r="152" spans="1:6" ht="15" customHeight="1" x14ac:dyDescent="0.25">
      <c r="A152" s="16" t="s">
        <v>666</v>
      </c>
      <c r="B152" s="9" t="s">
        <v>1125</v>
      </c>
      <c r="C152" s="35" t="s">
        <v>981</v>
      </c>
      <c r="D152" s="17">
        <f t="shared" si="2"/>
        <v>2.89</v>
      </c>
      <c r="E152" s="17">
        <v>2.89</v>
      </c>
      <c r="F152" s="17">
        <v>2.89</v>
      </c>
    </row>
    <row r="153" spans="1:6" ht="15" customHeight="1" x14ac:dyDescent="0.25">
      <c r="A153" s="16" t="s">
        <v>467</v>
      </c>
      <c r="B153" s="9" t="s">
        <v>1126</v>
      </c>
      <c r="C153" s="35" t="s">
        <v>981</v>
      </c>
      <c r="D153" s="17">
        <f t="shared" si="2"/>
        <v>2.85</v>
      </c>
      <c r="E153" s="17">
        <v>2.85</v>
      </c>
      <c r="F153" s="17">
        <v>2.85</v>
      </c>
    </row>
    <row r="154" spans="1:6" ht="15" customHeight="1" x14ac:dyDescent="0.25">
      <c r="A154" s="16" t="s">
        <v>320</v>
      </c>
      <c r="B154" s="9" t="s">
        <v>1127</v>
      </c>
      <c r="C154" s="35" t="s">
        <v>981</v>
      </c>
      <c r="D154" s="17">
        <f t="shared" si="2"/>
        <v>2.9</v>
      </c>
      <c r="E154" s="17">
        <v>2.9</v>
      </c>
      <c r="F154" s="17">
        <v>2.9</v>
      </c>
    </row>
    <row r="155" spans="1:6" ht="15" customHeight="1" x14ac:dyDescent="0.25">
      <c r="A155" s="16" t="s">
        <v>383</v>
      </c>
      <c r="B155" s="9" t="s">
        <v>1128</v>
      </c>
      <c r="C155" s="35" t="s">
        <v>981</v>
      </c>
      <c r="D155" s="17">
        <f t="shared" si="2"/>
        <v>2.89</v>
      </c>
      <c r="E155" s="17">
        <v>2.89</v>
      </c>
      <c r="F155" s="17">
        <v>2.89</v>
      </c>
    </row>
    <row r="156" spans="1:6" ht="15" customHeight="1" x14ac:dyDescent="0.25">
      <c r="A156" s="16" t="s">
        <v>411</v>
      </c>
      <c r="B156" s="9" t="s">
        <v>1129</v>
      </c>
      <c r="C156" s="35" t="s">
        <v>981</v>
      </c>
      <c r="D156" s="17">
        <f t="shared" si="2"/>
        <v>3.06</v>
      </c>
      <c r="E156" s="17">
        <v>3.06</v>
      </c>
      <c r="F156" s="17">
        <v>3.06</v>
      </c>
    </row>
    <row r="157" spans="1:6" ht="15" customHeight="1" x14ac:dyDescent="0.25">
      <c r="A157" s="16" t="s">
        <v>319</v>
      </c>
      <c r="B157" s="9" t="s">
        <v>1130</v>
      </c>
      <c r="C157" s="35" t="s">
        <v>981</v>
      </c>
      <c r="D157" s="17">
        <f t="shared" si="2"/>
        <v>2.98</v>
      </c>
      <c r="E157" s="17">
        <v>2.98</v>
      </c>
      <c r="F157" s="17">
        <v>2.98</v>
      </c>
    </row>
    <row r="158" spans="1:6" ht="15" customHeight="1" x14ac:dyDescent="0.25">
      <c r="A158" s="20">
        <v>90776</v>
      </c>
      <c r="B158" s="9" t="s">
        <v>1131</v>
      </c>
      <c r="C158" s="35" t="s">
        <v>981</v>
      </c>
      <c r="D158" s="17">
        <f t="shared" si="2"/>
        <v>25.35</v>
      </c>
      <c r="E158" s="17">
        <v>22.13</v>
      </c>
      <c r="F158" s="17">
        <v>25.35</v>
      </c>
    </row>
    <row r="159" spans="1:6" ht="15" customHeight="1" x14ac:dyDescent="0.25">
      <c r="A159" s="20">
        <v>90777</v>
      </c>
      <c r="B159" s="9" t="s">
        <v>1132</v>
      </c>
      <c r="C159" s="35" t="s">
        <v>981</v>
      </c>
      <c r="D159" s="17">
        <f t="shared" si="2"/>
        <v>92.27</v>
      </c>
      <c r="E159" s="17">
        <v>79.91</v>
      </c>
      <c r="F159" s="17">
        <v>92.27</v>
      </c>
    </row>
    <row r="160" spans="1:6" ht="15" customHeight="1" x14ac:dyDescent="0.25">
      <c r="A160" s="16" t="s">
        <v>322</v>
      </c>
      <c r="B160" s="9" t="s">
        <v>1133</v>
      </c>
      <c r="C160" s="35" t="s">
        <v>979</v>
      </c>
      <c r="D160" s="17">
        <f t="shared" si="2"/>
        <v>1740.69</v>
      </c>
      <c r="E160" s="17">
        <v>1740.69</v>
      </c>
      <c r="F160" s="17">
        <v>1740.69</v>
      </c>
    </row>
    <row r="161" spans="1:6" ht="15" customHeight="1" x14ac:dyDescent="0.25">
      <c r="A161" s="16" t="s">
        <v>317</v>
      </c>
      <c r="B161" s="9" t="s">
        <v>1134</v>
      </c>
      <c r="C161" s="35" t="s">
        <v>974</v>
      </c>
      <c r="D161" s="17">
        <f t="shared" si="2"/>
        <v>40.590000000000003</v>
      </c>
      <c r="E161" s="17">
        <v>40.590000000000003</v>
      </c>
      <c r="F161" s="17">
        <v>40.590000000000003</v>
      </c>
    </row>
    <row r="162" spans="1:6" ht="15" customHeight="1" x14ac:dyDescent="0.25">
      <c r="A162" s="20">
        <v>96526</v>
      </c>
      <c r="B162" s="9" t="s">
        <v>1135</v>
      </c>
      <c r="C162" s="35" t="s">
        <v>974</v>
      </c>
      <c r="D162" s="17">
        <f t="shared" si="2"/>
        <v>223.24</v>
      </c>
      <c r="E162" s="17">
        <v>201.05</v>
      </c>
      <c r="F162" s="17">
        <v>223.24</v>
      </c>
    </row>
    <row r="163" spans="1:6" ht="15" customHeight="1" x14ac:dyDescent="0.25">
      <c r="A163" s="16" t="s">
        <v>446</v>
      </c>
      <c r="B163" s="9" t="s">
        <v>1136</v>
      </c>
      <c r="C163" s="35" t="s">
        <v>974</v>
      </c>
      <c r="D163" s="17">
        <f t="shared" si="2"/>
        <v>59.99</v>
      </c>
      <c r="E163" s="17">
        <v>59.99</v>
      </c>
      <c r="F163" s="17">
        <v>59.99</v>
      </c>
    </row>
    <row r="164" spans="1:6" ht="15" customHeight="1" x14ac:dyDescent="0.25">
      <c r="A164" s="16" t="s">
        <v>403</v>
      </c>
      <c r="B164" s="9" t="s">
        <v>1137</v>
      </c>
      <c r="C164" s="35" t="s">
        <v>219</v>
      </c>
      <c r="D164" s="17">
        <f t="shared" si="2"/>
        <v>479.63</v>
      </c>
      <c r="E164" s="17">
        <v>479.63</v>
      </c>
      <c r="F164" s="17">
        <v>479.63</v>
      </c>
    </row>
    <row r="165" spans="1:6" ht="15" customHeight="1" x14ac:dyDescent="0.25">
      <c r="A165" s="20">
        <v>94992</v>
      </c>
      <c r="B165" s="9" t="s">
        <v>1138</v>
      </c>
      <c r="C165" s="35" t="s">
        <v>219</v>
      </c>
      <c r="D165" s="17">
        <f t="shared" si="2"/>
        <v>82.25</v>
      </c>
      <c r="E165" s="17">
        <v>80.459999999999994</v>
      </c>
      <c r="F165" s="17">
        <v>82.25</v>
      </c>
    </row>
    <row r="166" spans="1:6" ht="15" customHeight="1" x14ac:dyDescent="0.25">
      <c r="A166" s="20">
        <v>92272</v>
      </c>
      <c r="B166" s="9" t="s">
        <v>1139</v>
      </c>
      <c r="C166" s="35" t="s">
        <v>970</v>
      </c>
      <c r="D166" s="17">
        <f t="shared" si="2"/>
        <v>29.37</v>
      </c>
      <c r="E166" s="17">
        <v>28.9</v>
      </c>
      <c r="F166" s="17">
        <v>29.37</v>
      </c>
    </row>
    <row r="167" spans="1:6" ht="15" customHeight="1" x14ac:dyDescent="0.25">
      <c r="A167" s="20">
        <v>101969</v>
      </c>
      <c r="B167" s="9" t="s">
        <v>1140</v>
      </c>
      <c r="C167" s="35" t="s">
        <v>219</v>
      </c>
      <c r="D167" s="17">
        <f t="shared" si="2"/>
        <v>150.05000000000001</v>
      </c>
      <c r="E167" s="17">
        <v>147.75</v>
      </c>
      <c r="F167" s="17">
        <v>150.05000000000001</v>
      </c>
    </row>
    <row r="168" spans="1:6" ht="15" customHeight="1" x14ac:dyDescent="0.25">
      <c r="A168" s="20">
        <v>92267</v>
      </c>
      <c r="B168" s="9" t="s">
        <v>1141</v>
      </c>
      <c r="C168" s="35" t="s">
        <v>219</v>
      </c>
      <c r="D168" s="17">
        <f t="shared" si="2"/>
        <v>36.409999999999997</v>
      </c>
      <c r="E168" s="17">
        <v>36.33</v>
      </c>
      <c r="F168" s="17">
        <v>36.409999999999997</v>
      </c>
    </row>
    <row r="169" spans="1:6" ht="15" customHeight="1" x14ac:dyDescent="0.25">
      <c r="A169" s="20">
        <v>92263</v>
      </c>
      <c r="B169" s="9" t="s">
        <v>1142</v>
      </c>
      <c r="C169" s="35" t="s">
        <v>219</v>
      </c>
      <c r="D169" s="17">
        <f t="shared" si="2"/>
        <v>121.33</v>
      </c>
      <c r="E169" s="17">
        <v>117.65</v>
      </c>
      <c r="F169" s="17">
        <v>121.33</v>
      </c>
    </row>
    <row r="170" spans="1:6" ht="15" customHeight="1" x14ac:dyDescent="0.25">
      <c r="A170" s="20">
        <v>92265</v>
      </c>
      <c r="B170" s="9" t="s">
        <v>1143</v>
      </c>
      <c r="C170" s="35" t="s">
        <v>219</v>
      </c>
      <c r="D170" s="17">
        <f t="shared" si="2"/>
        <v>87.67</v>
      </c>
      <c r="E170" s="17">
        <v>84.68</v>
      </c>
      <c r="F170" s="17">
        <v>87.67</v>
      </c>
    </row>
    <row r="171" spans="1:6" ht="15" customHeight="1" x14ac:dyDescent="0.25">
      <c r="A171" s="20">
        <v>92550</v>
      </c>
      <c r="B171" s="9" t="s">
        <v>1144</v>
      </c>
      <c r="C171" s="35" t="s">
        <v>979</v>
      </c>
      <c r="D171" s="17">
        <f t="shared" si="2"/>
        <v>1682.11</v>
      </c>
      <c r="E171" s="17">
        <v>1617.01</v>
      </c>
      <c r="F171" s="17">
        <v>1682.11</v>
      </c>
    </row>
    <row r="172" spans="1:6" ht="15" customHeight="1" x14ac:dyDescent="0.25">
      <c r="A172" s="20">
        <v>96533</v>
      </c>
      <c r="B172" s="9" t="s">
        <v>1145</v>
      </c>
      <c r="C172" s="35" t="s">
        <v>219</v>
      </c>
      <c r="D172" s="17">
        <f t="shared" si="2"/>
        <v>85.38</v>
      </c>
      <c r="E172" s="17">
        <v>81.760000000000005</v>
      </c>
      <c r="F172" s="17">
        <v>85.38</v>
      </c>
    </row>
    <row r="173" spans="1:6" ht="15" customHeight="1" x14ac:dyDescent="0.25">
      <c r="A173" s="20">
        <v>91187</v>
      </c>
      <c r="B173" s="9" t="s">
        <v>1146</v>
      </c>
      <c r="C173" s="35" t="s">
        <v>970</v>
      </c>
      <c r="D173" s="17">
        <f t="shared" si="2"/>
        <v>4.99</v>
      </c>
      <c r="E173" s="17">
        <v>4.53</v>
      </c>
      <c r="F173" s="17">
        <v>4.99</v>
      </c>
    </row>
    <row r="174" spans="1:6" ht="15" customHeight="1" x14ac:dyDescent="0.25">
      <c r="A174" s="20">
        <v>91185</v>
      </c>
      <c r="B174" s="9" t="s">
        <v>1147</v>
      </c>
      <c r="C174" s="35" t="s">
        <v>970</v>
      </c>
      <c r="D174" s="17">
        <f t="shared" si="2"/>
        <v>5.26</v>
      </c>
      <c r="E174" s="17">
        <v>4.79</v>
      </c>
      <c r="F174" s="17">
        <v>5.26</v>
      </c>
    </row>
    <row r="175" spans="1:6" ht="15" customHeight="1" x14ac:dyDescent="0.25">
      <c r="A175" s="20">
        <v>91170</v>
      </c>
      <c r="B175" s="9" t="s">
        <v>1148</v>
      </c>
      <c r="C175" s="35" t="s">
        <v>970</v>
      </c>
      <c r="D175" s="17">
        <f t="shared" si="2"/>
        <v>2.4500000000000002</v>
      </c>
      <c r="E175" s="17">
        <v>2.2999999999999998</v>
      </c>
      <c r="F175" s="17">
        <v>2.4500000000000002</v>
      </c>
    </row>
    <row r="176" spans="1:6" ht="15" customHeight="1" x14ac:dyDescent="0.25">
      <c r="A176" s="16" t="s">
        <v>517</v>
      </c>
      <c r="B176" s="9" t="s">
        <v>1149</v>
      </c>
      <c r="C176" s="35" t="s">
        <v>219</v>
      </c>
      <c r="D176" s="17">
        <f t="shared" si="2"/>
        <v>39.07</v>
      </c>
      <c r="E176" s="17">
        <v>39.07</v>
      </c>
      <c r="F176" s="17">
        <v>39.07</v>
      </c>
    </row>
    <row r="177" spans="1:6" ht="15" customHeight="1" x14ac:dyDescent="0.25">
      <c r="A177" s="16" t="s">
        <v>432</v>
      </c>
      <c r="B177" s="9" t="s">
        <v>1150</v>
      </c>
      <c r="C177" s="35" t="s">
        <v>219</v>
      </c>
      <c r="D177" s="17">
        <f t="shared" si="2"/>
        <v>96.24</v>
      </c>
      <c r="E177" s="17">
        <v>96.24</v>
      </c>
      <c r="F177" s="17">
        <v>96.24</v>
      </c>
    </row>
    <row r="178" spans="1:6" ht="15" customHeight="1" x14ac:dyDescent="0.25">
      <c r="A178" s="16" t="s">
        <v>556</v>
      </c>
      <c r="B178" s="9" t="s">
        <v>1151</v>
      </c>
      <c r="C178" s="35" t="s">
        <v>219</v>
      </c>
      <c r="D178" s="17">
        <f t="shared" si="2"/>
        <v>76.64</v>
      </c>
      <c r="E178" s="17">
        <v>76.64</v>
      </c>
      <c r="F178" s="17">
        <v>76.64</v>
      </c>
    </row>
    <row r="179" spans="1:6" ht="15" customHeight="1" x14ac:dyDescent="0.25">
      <c r="A179" s="16" t="s">
        <v>328</v>
      </c>
      <c r="B179" s="9" t="s">
        <v>1152</v>
      </c>
      <c r="C179" s="35" t="s">
        <v>979</v>
      </c>
      <c r="D179" s="17">
        <f t="shared" si="2"/>
        <v>4.41</v>
      </c>
      <c r="E179" s="17">
        <v>4.41</v>
      </c>
      <c r="F179" s="17">
        <v>4.41</v>
      </c>
    </row>
    <row r="180" spans="1:6" ht="15" customHeight="1" x14ac:dyDescent="0.25">
      <c r="A180" s="20">
        <v>96116</v>
      </c>
      <c r="B180" s="9" t="s">
        <v>1153</v>
      </c>
      <c r="C180" s="35" t="s">
        <v>219</v>
      </c>
      <c r="D180" s="17">
        <f t="shared" si="2"/>
        <v>78.55</v>
      </c>
      <c r="E180" s="17">
        <v>77.400000000000006</v>
      </c>
      <c r="F180" s="17">
        <v>78.55</v>
      </c>
    </row>
    <row r="181" spans="1:6" ht="15" customHeight="1" x14ac:dyDescent="0.25">
      <c r="A181" s="16" t="s">
        <v>441</v>
      </c>
      <c r="B181" s="9" t="s">
        <v>1154</v>
      </c>
      <c r="C181" s="35" t="s">
        <v>979</v>
      </c>
      <c r="D181" s="17">
        <f t="shared" si="2"/>
        <v>2689.38</v>
      </c>
      <c r="E181" s="17">
        <v>2689.38</v>
      </c>
      <c r="F181" s="17">
        <v>2689.38</v>
      </c>
    </row>
    <row r="182" spans="1:6" ht="15" customHeight="1" x14ac:dyDescent="0.25">
      <c r="A182" s="20">
        <v>90438</v>
      </c>
      <c r="B182" s="9" t="s">
        <v>1155</v>
      </c>
      <c r="C182" s="35" t="s">
        <v>979</v>
      </c>
      <c r="D182" s="17">
        <f t="shared" si="2"/>
        <v>37.31</v>
      </c>
      <c r="E182" s="17">
        <v>33.380000000000003</v>
      </c>
      <c r="F182" s="17">
        <v>37.31</v>
      </c>
    </row>
    <row r="183" spans="1:6" ht="15" customHeight="1" x14ac:dyDescent="0.25">
      <c r="A183" s="20">
        <v>90436</v>
      </c>
      <c r="B183" s="9" t="s">
        <v>1156</v>
      </c>
      <c r="C183" s="35" t="s">
        <v>979</v>
      </c>
      <c r="D183" s="17">
        <f t="shared" si="2"/>
        <v>10.71</v>
      </c>
      <c r="E183" s="17">
        <v>9.59</v>
      </c>
      <c r="F183" s="17">
        <v>10.71</v>
      </c>
    </row>
    <row r="184" spans="1:6" ht="15" customHeight="1" x14ac:dyDescent="0.25">
      <c r="A184" s="16" t="s">
        <v>400</v>
      </c>
      <c r="B184" s="9" t="s">
        <v>1157</v>
      </c>
      <c r="C184" s="35" t="s">
        <v>219</v>
      </c>
      <c r="D184" s="17">
        <f t="shared" si="2"/>
        <v>149.96</v>
      </c>
      <c r="E184" s="17">
        <v>149.96</v>
      </c>
      <c r="F184" s="17">
        <v>149.96</v>
      </c>
    </row>
    <row r="185" spans="1:6" ht="15" customHeight="1" x14ac:dyDescent="0.25">
      <c r="A185" s="20">
        <v>93282</v>
      </c>
      <c r="B185" s="9" t="s">
        <v>1158</v>
      </c>
      <c r="C185" s="35" t="s">
        <v>1021</v>
      </c>
      <c r="D185" s="17">
        <f t="shared" si="2"/>
        <v>23.41</v>
      </c>
      <c r="E185" s="17">
        <v>20.79</v>
      </c>
      <c r="F185" s="17">
        <v>23.41</v>
      </c>
    </row>
    <row r="186" spans="1:6" ht="15" customHeight="1" x14ac:dyDescent="0.25">
      <c r="A186" s="20">
        <v>93281</v>
      </c>
      <c r="B186" s="9" t="s">
        <v>1159</v>
      </c>
      <c r="C186" s="35" t="s">
        <v>1023</v>
      </c>
      <c r="D186" s="17">
        <f t="shared" si="2"/>
        <v>24.28</v>
      </c>
      <c r="E186" s="17">
        <v>21.66</v>
      </c>
      <c r="F186" s="17">
        <v>24.28</v>
      </c>
    </row>
    <row r="187" spans="1:6" ht="15" customHeight="1" x14ac:dyDescent="0.25">
      <c r="A187" s="20">
        <v>93277</v>
      </c>
      <c r="B187" s="9" t="s">
        <v>1160</v>
      </c>
      <c r="C187" s="35" t="s">
        <v>981</v>
      </c>
      <c r="D187" s="17">
        <f t="shared" si="2"/>
        <v>0.3</v>
      </c>
      <c r="E187" s="17">
        <v>0.3</v>
      </c>
      <c r="F187" s="17">
        <v>0.3</v>
      </c>
    </row>
    <row r="188" spans="1:6" ht="15" customHeight="1" x14ac:dyDescent="0.25">
      <c r="A188" s="20">
        <v>93278</v>
      </c>
      <c r="B188" s="9" t="s">
        <v>1161</v>
      </c>
      <c r="C188" s="35" t="s">
        <v>981</v>
      </c>
      <c r="D188" s="17">
        <f t="shared" si="2"/>
        <v>0.03</v>
      </c>
      <c r="E188" s="17">
        <v>0.03</v>
      </c>
      <c r="F188" s="17">
        <v>0.03</v>
      </c>
    </row>
    <row r="189" spans="1:6" ht="15" customHeight="1" x14ac:dyDescent="0.25">
      <c r="A189" s="20">
        <v>93279</v>
      </c>
      <c r="B189" s="9" t="s">
        <v>1162</v>
      </c>
      <c r="C189" s="35" t="s">
        <v>981</v>
      </c>
      <c r="D189" s="17">
        <f t="shared" si="2"/>
        <v>0.28000000000000003</v>
      </c>
      <c r="E189" s="17">
        <v>0.28000000000000003</v>
      </c>
      <c r="F189" s="17">
        <v>0.28000000000000003</v>
      </c>
    </row>
    <row r="190" spans="1:6" ht="15" customHeight="1" x14ac:dyDescent="0.25">
      <c r="A190" s="20">
        <v>93280</v>
      </c>
      <c r="B190" s="9" t="s">
        <v>1163</v>
      </c>
      <c r="C190" s="35" t="s">
        <v>981</v>
      </c>
      <c r="D190" s="17">
        <f t="shared" si="2"/>
        <v>0.59</v>
      </c>
      <c r="E190" s="17">
        <v>0.59</v>
      </c>
      <c r="F190" s="17">
        <v>0.59</v>
      </c>
    </row>
    <row r="191" spans="1:6" ht="15" customHeight="1" x14ac:dyDescent="0.25">
      <c r="A191" s="20">
        <v>93288</v>
      </c>
      <c r="B191" s="9" t="s">
        <v>1164</v>
      </c>
      <c r="C191" s="35" t="s">
        <v>1021</v>
      </c>
      <c r="D191" s="17">
        <f t="shared" si="2"/>
        <v>116.24</v>
      </c>
      <c r="E191" s="17">
        <v>113.55</v>
      </c>
      <c r="F191" s="17">
        <v>116.24</v>
      </c>
    </row>
    <row r="192" spans="1:6" ht="15" customHeight="1" x14ac:dyDescent="0.25">
      <c r="A192" s="20">
        <v>93287</v>
      </c>
      <c r="B192" s="9" t="s">
        <v>1165</v>
      </c>
      <c r="C192" s="35" t="s">
        <v>1023</v>
      </c>
      <c r="D192" s="17">
        <f t="shared" si="2"/>
        <v>402.31</v>
      </c>
      <c r="E192" s="17">
        <v>399.62</v>
      </c>
      <c r="F192" s="17">
        <v>402.31</v>
      </c>
    </row>
    <row r="193" spans="1:6" ht="15" customHeight="1" x14ac:dyDescent="0.25">
      <c r="A193" s="20">
        <v>93283</v>
      </c>
      <c r="B193" s="9" t="s">
        <v>1166</v>
      </c>
      <c r="C193" s="35" t="s">
        <v>981</v>
      </c>
      <c r="D193" s="17">
        <f t="shared" si="2"/>
        <v>73.47</v>
      </c>
      <c r="E193" s="17">
        <v>73.47</v>
      </c>
      <c r="F193" s="17">
        <v>73.47</v>
      </c>
    </row>
    <row r="194" spans="1:6" ht="15" customHeight="1" x14ac:dyDescent="0.25">
      <c r="A194" s="20">
        <v>93296</v>
      </c>
      <c r="B194" s="9" t="s">
        <v>1167</v>
      </c>
      <c r="C194" s="35" t="s">
        <v>981</v>
      </c>
      <c r="D194" s="17">
        <f t="shared" ref="D194:D257" si="3">IF(ONERA="COM DESONERAÇÃO",E194,F194)</f>
        <v>5.14</v>
      </c>
      <c r="E194" s="17">
        <v>5.14</v>
      </c>
      <c r="F194" s="17">
        <v>5.14</v>
      </c>
    </row>
    <row r="195" spans="1:6" ht="15" customHeight="1" x14ac:dyDescent="0.25">
      <c r="A195" s="20">
        <v>93284</v>
      </c>
      <c r="B195" s="9" t="s">
        <v>1168</v>
      </c>
      <c r="C195" s="35" t="s">
        <v>981</v>
      </c>
      <c r="D195" s="17">
        <f t="shared" si="3"/>
        <v>13.96</v>
      </c>
      <c r="E195" s="17">
        <v>13.96</v>
      </c>
      <c r="F195" s="17">
        <v>13.96</v>
      </c>
    </row>
    <row r="196" spans="1:6" ht="15" customHeight="1" x14ac:dyDescent="0.25">
      <c r="A196" s="20">
        <v>93285</v>
      </c>
      <c r="B196" s="9" t="s">
        <v>1169</v>
      </c>
      <c r="C196" s="35" t="s">
        <v>981</v>
      </c>
      <c r="D196" s="17">
        <f t="shared" si="3"/>
        <v>118.11</v>
      </c>
      <c r="E196" s="17">
        <v>118.11</v>
      </c>
      <c r="F196" s="17">
        <v>118.11</v>
      </c>
    </row>
    <row r="197" spans="1:6" ht="15" customHeight="1" x14ac:dyDescent="0.25">
      <c r="A197" s="20">
        <v>93286</v>
      </c>
      <c r="B197" s="9" t="s">
        <v>1170</v>
      </c>
      <c r="C197" s="35" t="s">
        <v>981</v>
      </c>
      <c r="D197" s="17">
        <f t="shared" si="3"/>
        <v>167.96</v>
      </c>
      <c r="E197" s="17">
        <v>167.96</v>
      </c>
      <c r="F197" s="17">
        <v>167.96</v>
      </c>
    </row>
    <row r="198" spans="1:6" ht="15" customHeight="1" x14ac:dyDescent="0.25">
      <c r="A198" s="16" t="s">
        <v>333</v>
      </c>
      <c r="B198" s="9" t="s">
        <v>1171</v>
      </c>
      <c r="C198" s="35" t="s">
        <v>979</v>
      </c>
      <c r="D198" s="17">
        <f t="shared" si="3"/>
        <v>38.69</v>
      </c>
      <c r="E198" s="17">
        <v>38.69</v>
      </c>
      <c r="F198" s="17">
        <v>38.69</v>
      </c>
    </row>
    <row r="199" spans="1:6" ht="15" customHeight="1" x14ac:dyDescent="0.25">
      <c r="A199" s="20">
        <v>98557</v>
      </c>
      <c r="B199" s="9" t="s">
        <v>1172</v>
      </c>
      <c r="C199" s="35" t="s">
        <v>219</v>
      </c>
      <c r="D199" s="17">
        <f t="shared" si="3"/>
        <v>40.18</v>
      </c>
      <c r="E199" s="17">
        <v>39.15</v>
      </c>
      <c r="F199" s="17">
        <v>40.18</v>
      </c>
    </row>
    <row r="200" spans="1:6" ht="15" customHeight="1" x14ac:dyDescent="0.25">
      <c r="A200" s="20">
        <v>88270</v>
      </c>
      <c r="B200" s="9" t="s">
        <v>1173</v>
      </c>
      <c r="C200" s="35" t="s">
        <v>981</v>
      </c>
      <c r="D200" s="17">
        <f t="shared" si="3"/>
        <v>19.850000000000001</v>
      </c>
      <c r="E200" s="17">
        <v>17.79</v>
      </c>
      <c r="F200" s="17">
        <v>19.850000000000001</v>
      </c>
    </row>
    <row r="201" spans="1:6" ht="15" customHeight="1" x14ac:dyDescent="0.25">
      <c r="A201" s="20">
        <v>92261</v>
      </c>
      <c r="B201" s="9" t="s">
        <v>1174</v>
      </c>
      <c r="C201" s="35" t="s">
        <v>979</v>
      </c>
      <c r="D201" s="17">
        <f t="shared" si="3"/>
        <v>451.58</v>
      </c>
      <c r="E201" s="17">
        <v>431.89</v>
      </c>
      <c r="F201" s="17">
        <v>451.58</v>
      </c>
    </row>
    <row r="202" spans="1:6" ht="15" customHeight="1" x14ac:dyDescent="0.25">
      <c r="A202" s="20">
        <v>91969</v>
      </c>
      <c r="B202" s="9" t="s">
        <v>1175</v>
      </c>
      <c r="C202" s="35" t="s">
        <v>979</v>
      </c>
      <c r="D202" s="17">
        <f t="shared" si="3"/>
        <v>61.54</v>
      </c>
      <c r="E202" s="17">
        <v>58.44</v>
      </c>
      <c r="F202" s="17">
        <v>61.54</v>
      </c>
    </row>
    <row r="203" spans="1:6" ht="15" customHeight="1" x14ac:dyDescent="0.25">
      <c r="A203" s="20">
        <v>91968</v>
      </c>
      <c r="B203" s="9" t="s">
        <v>1176</v>
      </c>
      <c r="C203" s="35" t="s">
        <v>979</v>
      </c>
      <c r="D203" s="17">
        <f t="shared" si="3"/>
        <v>54.73</v>
      </c>
      <c r="E203" s="17">
        <v>51.89</v>
      </c>
      <c r="F203" s="17">
        <v>54.73</v>
      </c>
    </row>
    <row r="204" spans="1:6" ht="15" customHeight="1" x14ac:dyDescent="0.25">
      <c r="A204" s="20">
        <v>91953</v>
      </c>
      <c r="B204" s="9" t="s">
        <v>1177</v>
      </c>
      <c r="C204" s="35" t="s">
        <v>979</v>
      </c>
      <c r="D204" s="17">
        <f t="shared" si="3"/>
        <v>21.52</v>
      </c>
      <c r="E204" s="17">
        <v>20.46</v>
      </c>
      <c r="F204" s="17">
        <v>21.52</v>
      </c>
    </row>
    <row r="205" spans="1:6" ht="15" customHeight="1" x14ac:dyDescent="0.25">
      <c r="A205" s="20">
        <v>91952</v>
      </c>
      <c r="B205" s="9" t="s">
        <v>1178</v>
      </c>
      <c r="C205" s="35" t="s">
        <v>979</v>
      </c>
      <c r="D205" s="17">
        <f t="shared" si="3"/>
        <v>14.71</v>
      </c>
      <c r="E205" s="17">
        <v>13.91</v>
      </c>
      <c r="F205" s="17">
        <v>14.71</v>
      </c>
    </row>
    <row r="206" spans="1:6" ht="15" customHeight="1" x14ac:dyDescent="0.25">
      <c r="A206" s="20">
        <v>88441</v>
      </c>
      <c r="B206" s="9" t="s">
        <v>1179</v>
      </c>
      <c r="C206" s="35" t="s">
        <v>981</v>
      </c>
      <c r="D206" s="17">
        <f t="shared" si="3"/>
        <v>19.190000000000001</v>
      </c>
      <c r="E206" s="17">
        <v>17.22</v>
      </c>
      <c r="F206" s="17">
        <v>19.190000000000001</v>
      </c>
    </row>
    <row r="207" spans="1:6" ht="15" customHeight="1" x14ac:dyDescent="0.25">
      <c r="A207" s="20">
        <v>89810</v>
      </c>
      <c r="B207" s="9" t="s">
        <v>1180</v>
      </c>
      <c r="C207" s="35" t="s">
        <v>979</v>
      </c>
      <c r="D207" s="17">
        <f t="shared" si="3"/>
        <v>16.559999999999999</v>
      </c>
      <c r="E207" s="17">
        <v>16.14</v>
      </c>
      <c r="F207" s="17">
        <v>16.559999999999999</v>
      </c>
    </row>
    <row r="208" spans="1:6" ht="15" customHeight="1" x14ac:dyDescent="0.25">
      <c r="A208" s="20">
        <v>89746</v>
      </c>
      <c r="B208" s="9" t="s">
        <v>1181</v>
      </c>
      <c r="C208" s="35" t="s">
        <v>979</v>
      </c>
      <c r="D208" s="17">
        <f t="shared" si="3"/>
        <v>21.03</v>
      </c>
      <c r="E208" s="17">
        <v>20.14</v>
      </c>
      <c r="F208" s="17">
        <v>21.03</v>
      </c>
    </row>
    <row r="209" spans="1:6" ht="15" customHeight="1" x14ac:dyDescent="0.25">
      <c r="A209" s="20">
        <v>89851</v>
      </c>
      <c r="B209" s="9" t="s">
        <v>1182</v>
      </c>
      <c r="C209" s="35" t="s">
        <v>979</v>
      </c>
      <c r="D209" s="17">
        <f t="shared" si="3"/>
        <v>20.68</v>
      </c>
      <c r="E209" s="17">
        <v>19.84</v>
      </c>
      <c r="F209" s="17">
        <v>20.68</v>
      </c>
    </row>
    <row r="210" spans="1:6" ht="15" customHeight="1" x14ac:dyDescent="0.25">
      <c r="A210" s="20">
        <v>89366</v>
      </c>
      <c r="B210" s="9" t="s">
        <v>1183</v>
      </c>
      <c r="C210" s="35" t="s">
        <v>979</v>
      </c>
      <c r="D210" s="17">
        <f t="shared" si="3"/>
        <v>14.14</v>
      </c>
      <c r="E210" s="17">
        <v>13.61</v>
      </c>
      <c r="F210" s="17">
        <v>14.14</v>
      </c>
    </row>
    <row r="211" spans="1:6" ht="15" customHeight="1" x14ac:dyDescent="0.25">
      <c r="A211" s="20">
        <v>89481</v>
      </c>
      <c r="B211" s="9" t="s">
        <v>1184</v>
      </c>
      <c r="C211" s="35" t="s">
        <v>979</v>
      </c>
      <c r="D211" s="17">
        <f t="shared" si="3"/>
        <v>3.78</v>
      </c>
      <c r="E211" s="17">
        <v>3.57</v>
      </c>
      <c r="F211" s="17">
        <v>3.78</v>
      </c>
    </row>
    <row r="212" spans="1:6" ht="15" customHeight="1" x14ac:dyDescent="0.25">
      <c r="A212" s="20">
        <v>89408</v>
      </c>
      <c r="B212" s="9" t="s">
        <v>1185</v>
      </c>
      <c r="C212" s="35" t="s">
        <v>979</v>
      </c>
      <c r="D212" s="17">
        <f t="shared" si="3"/>
        <v>4.8499999999999996</v>
      </c>
      <c r="E212" s="17">
        <v>4.53</v>
      </c>
      <c r="F212" s="17">
        <v>4.8499999999999996</v>
      </c>
    </row>
    <row r="213" spans="1:6" ht="15" customHeight="1" x14ac:dyDescent="0.25">
      <c r="A213" s="20">
        <v>89362</v>
      </c>
      <c r="B213" s="9" t="s">
        <v>1186</v>
      </c>
      <c r="C213" s="35" t="s">
        <v>979</v>
      </c>
      <c r="D213" s="17">
        <f t="shared" si="3"/>
        <v>6.95</v>
      </c>
      <c r="E213" s="17">
        <v>6.42</v>
      </c>
      <c r="F213" s="17">
        <v>6.95</v>
      </c>
    </row>
    <row r="214" spans="1:6" ht="15" customHeight="1" x14ac:dyDescent="0.25">
      <c r="A214" s="20">
        <v>89834</v>
      </c>
      <c r="B214" s="9" t="s">
        <v>1187</v>
      </c>
      <c r="C214" s="35" t="s">
        <v>979</v>
      </c>
      <c r="D214" s="17">
        <f t="shared" si="3"/>
        <v>35.28</v>
      </c>
      <c r="E214" s="17">
        <v>34.72</v>
      </c>
      <c r="F214" s="17">
        <v>35.28</v>
      </c>
    </row>
    <row r="215" spans="1:6" ht="15" customHeight="1" x14ac:dyDescent="0.25">
      <c r="A215" s="20">
        <v>89797</v>
      </c>
      <c r="B215" s="9" t="s">
        <v>1188</v>
      </c>
      <c r="C215" s="35" t="s">
        <v>979</v>
      </c>
      <c r="D215" s="17">
        <f t="shared" si="3"/>
        <v>41.12</v>
      </c>
      <c r="E215" s="17">
        <v>39.96</v>
      </c>
      <c r="F215" s="17">
        <v>41.12</v>
      </c>
    </row>
    <row r="216" spans="1:6" ht="15" customHeight="1" x14ac:dyDescent="0.25">
      <c r="A216" s="20">
        <v>89861</v>
      </c>
      <c r="B216" s="9" t="s">
        <v>1189</v>
      </c>
      <c r="C216" s="35" t="s">
        <v>979</v>
      </c>
      <c r="D216" s="17">
        <f t="shared" si="3"/>
        <v>40.770000000000003</v>
      </c>
      <c r="E216" s="17">
        <v>39.65</v>
      </c>
      <c r="F216" s="17">
        <v>40.770000000000003</v>
      </c>
    </row>
    <row r="217" spans="1:6" ht="15" customHeight="1" x14ac:dyDescent="0.25">
      <c r="A217" s="20">
        <v>92874</v>
      </c>
      <c r="B217" s="9" t="s">
        <v>1190</v>
      </c>
      <c r="C217" s="35" t="s">
        <v>974</v>
      </c>
      <c r="D217" s="17">
        <f t="shared" si="3"/>
        <v>26.31</v>
      </c>
      <c r="E217" s="17">
        <v>23.74</v>
      </c>
      <c r="F217" s="17">
        <v>26.31</v>
      </c>
    </row>
    <row r="218" spans="1:6" ht="15" customHeight="1" x14ac:dyDescent="0.25">
      <c r="A218" s="16" t="s">
        <v>669</v>
      </c>
      <c r="B218" s="9" t="s">
        <v>1191</v>
      </c>
      <c r="C218" s="35" t="s">
        <v>974</v>
      </c>
      <c r="D218" s="17">
        <f t="shared" si="3"/>
        <v>37.11</v>
      </c>
      <c r="E218" s="17">
        <v>37.11</v>
      </c>
      <c r="F218" s="17">
        <v>37.11</v>
      </c>
    </row>
    <row r="219" spans="1:6" ht="15" customHeight="1" x14ac:dyDescent="0.25">
      <c r="A219" s="16" t="s">
        <v>740</v>
      </c>
      <c r="B219" s="9" t="s">
        <v>1192</v>
      </c>
      <c r="C219" s="35" t="s">
        <v>974</v>
      </c>
      <c r="D219" s="17">
        <f t="shared" si="3"/>
        <v>37.11</v>
      </c>
      <c r="E219" s="17">
        <v>37.11</v>
      </c>
      <c r="F219" s="17">
        <v>37.11</v>
      </c>
    </row>
    <row r="220" spans="1:6" ht="15" customHeight="1" x14ac:dyDescent="0.25">
      <c r="A220" s="16" t="s">
        <v>447</v>
      </c>
      <c r="B220" s="9" t="s">
        <v>1193</v>
      </c>
      <c r="C220" s="35" t="s">
        <v>974</v>
      </c>
      <c r="D220" s="17">
        <f t="shared" si="3"/>
        <v>108.21</v>
      </c>
      <c r="E220" s="17">
        <v>108.21</v>
      </c>
      <c r="F220" s="17">
        <v>108.21</v>
      </c>
    </row>
    <row r="221" spans="1:6" ht="15" customHeight="1" x14ac:dyDescent="0.25">
      <c r="A221" s="16" t="s">
        <v>448</v>
      </c>
      <c r="B221" s="9" t="s">
        <v>1194</v>
      </c>
      <c r="C221" s="35" t="s">
        <v>974</v>
      </c>
      <c r="D221" s="17">
        <f t="shared" si="3"/>
        <v>121.9</v>
      </c>
      <c r="E221" s="17">
        <v>121.9</v>
      </c>
      <c r="F221" s="17">
        <v>121.9</v>
      </c>
    </row>
    <row r="222" spans="1:6" ht="15" customHeight="1" x14ac:dyDescent="0.25">
      <c r="A222" s="16" t="s">
        <v>452</v>
      </c>
      <c r="B222" s="9" t="s">
        <v>1195</v>
      </c>
      <c r="C222" s="35" t="s">
        <v>979</v>
      </c>
      <c r="D222" s="17">
        <f t="shared" si="3"/>
        <v>1469.81</v>
      </c>
      <c r="E222" s="17">
        <v>1469.81</v>
      </c>
      <c r="F222" s="17">
        <v>1469.81</v>
      </c>
    </row>
    <row r="223" spans="1:6" ht="15" customHeight="1" x14ac:dyDescent="0.25">
      <c r="A223" s="16" t="s">
        <v>308</v>
      </c>
      <c r="B223" s="9" t="s">
        <v>1196</v>
      </c>
      <c r="C223" s="35" t="s">
        <v>979</v>
      </c>
      <c r="D223" s="17">
        <f t="shared" si="3"/>
        <v>536.48</v>
      </c>
      <c r="E223" s="17">
        <v>536.48</v>
      </c>
      <c r="F223" s="17">
        <v>536.48</v>
      </c>
    </row>
    <row r="224" spans="1:6" ht="15" customHeight="1" x14ac:dyDescent="0.25">
      <c r="A224" s="16" t="s">
        <v>497</v>
      </c>
      <c r="B224" s="9" t="s">
        <v>1197</v>
      </c>
      <c r="C224" s="35" t="s">
        <v>219</v>
      </c>
      <c r="D224" s="17">
        <f t="shared" si="3"/>
        <v>1.92</v>
      </c>
      <c r="E224" s="17">
        <v>1.92</v>
      </c>
      <c r="F224" s="17">
        <v>1.92</v>
      </c>
    </row>
    <row r="225" spans="1:6" ht="15" customHeight="1" x14ac:dyDescent="0.25">
      <c r="A225" s="20">
        <v>98524</v>
      </c>
      <c r="B225" s="9" t="s">
        <v>1198</v>
      </c>
      <c r="C225" s="35" t="s">
        <v>219</v>
      </c>
      <c r="D225" s="17">
        <f t="shared" si="3"/>
        <v>2.4700000000000002</v>
      </c>
      <c r="E225" s="17">
        <v>2.2200000000000002</v>
      </c>
      <c r="F225" s="17">
        <v>2.4700000000000002</v>
      </c>
    </row>
    <row r="226" spans="1:6" ht="15" customHeight="1" x14ac:dyDescent="0.25">
      <c r="A226" s="16" t="s">
        <v>482</v>
      </c>
      <c r="B226" s="9" t="s">
        <v>1199</v>
      </c>
      <c r="C226" s="35" t="s">
        <v>979</v>
      </c>
      <c r="D226" s="17">
        <f t="shared" si="3"/>
        <v>66.709999999999994</v>
      </c>
      <c r="E226" s="17">
        <v>66.709999999999994</v>
      </c>
      <c r="F226" s="17">
        <v>66.709999999999994</v>
      </c>
    </row>
    <row r="227" spans="1:6" ht="15" customHeight="1" x14ac:dyDescent="0.25">
      <c r="A227" s="20">
        <v>89532</v>
      </c>
      <c r="B227" s="9" t="s">
        <v>1200</v>
      </c>
      <c r="C227" s="35" t="s">
        <v>979</v>
      </c>
      <c r="D227" s="17">
        <f t="shared" si="3"/>
        <v>6.34</v>
      </c>
      <c r="E227" s="17">
        <v>6.21</v>
      </c>
      <c r="F227" s="17">
        <v>6.34</v>
      </c>
    </row>
    <row r="228" spans="1:6" ht="15" customHeight="1" x14ac:dyDescent="0.25">
      <c r="A228" s="16" t="s">
        <v>326</v>
      </c>
      <c r="B228" s="9" t="s">
        <v>1201</v>
      </c>
      <c r="C228" s="35" t="s">
        <v>979</v>
      </c>
      <c r="D228" s="17">
        <f t="shared" si="3"/>
        <v>1.83</v>
      </c>
      <c r="E228" s="17">
        <v>1.83</v>
      </c>
      <c r="F228" s="17">
        <v>1.83</v>
      </c>
    </row>
    <row r="229" spans="1:6" ht="15" customHeight="1" x14ac:dyDescent="0.25">
      <c r="A229" s="20">
        <v>89821</v>
      </c>
      <c r="B229" s="9" t="s">
        <v>1202</v>
      </c>
      <c r="C229" s="35" t="s">
        <v>979</v>
      </c>
      <c r="D229" s="17">
        <f t="shared" si="3"/>
        <v>13.35</v>
      </c>
      <c r="E229" s="17">
        <v>13.08</v>
      </c>
      <c r="F229" s="17">
        <v>13.35</v>
      </c>
    </row>
    <row r="230" spans="1:6" ht="15" customHeight="1" x14ac:dyDescent="0.25">
      <c r="A230" s="20">
        <v>89778</v>
      </c>
      <c r="B230" s="9" t="s">
        <v>1203</v>
      </c>
      <c r="C230" s="35" t="s">
        <v>979</v>
      </c>
      <c r="D230" s="17">
        <f t="shared" si="3"/>
        <v>16.45</v>
      </c>
      <c r="E230" s="17">
        <v>15.85</v>
      </c>
      <c r="F230" s="17">
        <v>16.45</v>
      </c>
    </row>
    <row r="231" spans="1:6" ht="15" customHeight="1" x14ac:dyDescent="0.25">
      <c r="A231" s="20">
        <v>89856</v>
      </c>
      <c r="B231" s="9" t="s">
        <v>1204</v>
      </c>
      <c r="C231" s="35" t="s">
        <v>979</v>
      </c>
      <c r="D231" s="17">
        <f t="shared" si="3"/>
        <v>16.100000000000001</v>
      </c>
      <c r="E231" s="17">
        <v>15.54</v>
      </c>
      <c r="F231" s="17">
        <v>16.100000000000001</v>
      </c>
    </row>
    <row r="232" spans="1:6" ht="15" customHeight="1" x14ac:dyDescent="0.25">
      <c r="A232" s="20">
        <v>89528</v>
      </c>
      <c r="B232" s="9" t="s">
        <v>1205</v>
      </c>
      <c r="C232" s="35" t="s">
        <v>979</v>
      </c>
      <c r="D232" s="17">
        <f t="shared" si="3"/>
        <v>3.14</v>
      </c>
      <c r="E232" s="17">
        <v>3.01</v>
      </c>
      <c r="F232" s="17">
        <v>3.14</v>
      </c>
    </row>
    <row r="233" spans="1:6" ht="15" customHeight="1" x14ac:dyDescent="0.25">
      <c r="A233" s="20">
        <v>89424</v>
      </c>
      <c r="B233" s="9" t="s">
        <v>1206</v>
      </c>
      <c r="C233" s="35" t="s">
        <v>979</v>
      </c>
      <c r="D233" s="17">
        <f t="shared" si="3"/>
        <v>3.87</v>
      </c>
      <c r="E233" s="17">
        <v>3.66</v>
      </c>
      <c r="F233" s="17">
        <v>3.87</v>
      </c>
    </row>
    <row r="234" spans="1:6" ht="15" customHeight="1" x14ac:dyDescent="0.25">
      <c r="A234" s="20">
        <v>89378</v>
      </c>
      <c r="B234" s="9" t="s">
        <v>1207</v>
      </c>
      <c r="C234" s="35" t="s">
        <v>979</v>
      </c>
      <c r="D234" s="17">
        <f t="shared" si="3"/>
        <v>5.28</v>
      </c>
      <c r="E234" s="17">
        <v>4.9400000000000004</v>
      </c>
      <c r="F234" s="17">
        <v>5.28</v>
      </c>
    </row>
    <row r="235" spans="1:6" ht="15" customHeight="1" x14ac:dyDescent="0.25">
      <c r="A235" s="20">
        <v>88274</v>
      </c>
      <c r="B235" s="9" t="s">
        <v>1208</v>
      </c>
      <c r="C235" s="35" t="s">
        <v>981</v>
      </c>
      <c r="D235" s="17">
        <f t="shared" si="3"/>
        <v>22.06</v>
      </c>
      <c r="E235" s="17">
        <v>19.7</v>
      </c>
      <c r="F235" s="17">
        <v>22.06</v>
      </c>
    </row>
    <row r="236" spans="1:6" ht="15" customHeight="1" x14ac:dyDescent="0.25">
      <c r="A236" s="20">
        <v>87530</v>
      </c>
      <c r="B236" s="9" t="s">
        <v>1209</v>
      </c>
      <c r="C236" s="35" t="s">
        <v>219</v>
      </c>
      <c r="D236" s="17">
        <f t="shared" si="3"/>
        <v>32.29</v>
      </c>
      <c r="E236" s="17">
        <v>30.46</v>
      </c>
      <c r="F236" s="17">
        <v>32.29</v>
      </c>
    </row>
    <row r="237" spans="1:6" ht="15" customHeight="1" x14ac:dyDescent="0.25">
      <c r="A237" s="20">
        <v>87529</v>
      </c>
      <c r="B237" s="9" t="s">
        <v>1210</v>
      </c>
      <c r="C237" s="35" t="s">
        <v>219</v>
      </c>
      <c r="D237" s="17">
        <f t="shared" si="3"/>
        <v>29.59</v>
      </c>
      <c r="E237" s="17">
        <v>28.02</v>
      </c>
      <c r="F237" s="17">
        <v>29.59</v>
      </c>
    </row>
    <row r="238" spans="1:6" ht="15" customHeight="1" x14ac:dyDescent="0.25">
      <c r="A238" s="20">
        <v>90780</v>
      </c>
      <c r="B238" s="9" t="s">
        <v>1211</v>
      </c>
      <c r="C238" s="35" t="s">
        <v>981</v>
      </c>
      <c r="D238" s="17">
        <f t="shared" si="3"/>
        <v>37.630000000000003</v>
      </c>
      <c r="E238" s="17">
        <v>32.74</v>
      </c>
      <c r="F238" s="17">
        <v>37.630000000000003</v>
      </c>
    </row>
    <row r="239" spans="1:6" ht="15" customHeight="1" x14ac:dyDescent="0.25">
      <c r="A239" s="20">
        <v>88278</v>
      </c>
      <c r="B239" s="9" t="s">
        <v>1212</v>
      </c>
      <c r="C239" s="35" t="s">
        <v>981</v>
      </c>
      <c r="D239" s="17">
        <f t="shared" si="3"/>
        <v>20.76</v>
      </c>
      <c r="E239" s="17">
        <v>18.46</v>
      </c>
      <c r="F239" s="17">
        <v>20.76</v>
      </c>
    </row>
    <row r="240" spans="1:6" ht="15" customHeight="1" x14ac:dyDescent="0.25">
      <c r="A240" s="20">
        <v>92510</v>
      </c>
      <c r="B240" s="9" t="s">
        <v>1213</v>
      </c>
      <c r="C240" s="35" t="s">
        <v>219</v>
      </c>
      <c r="D240" s="17">
        <f t="shared" si="3"/>
        <v>39.99</v>
      </c>
      <c r="E240" s="17">
        <v>38.35</v>
      </c>
      <c r="F240" s="17">
        <v>39.99</v>
      </c>
    </row>
    <row r="241" spans="1:6" ht="15" customHeight="1" x14ac:dyDescent="0.25">
      <c r="A241" s="20">
        <v>92522</v>
      </c>
      <c r="B241" s="9" t="s">
        <v>1214</v>
      </c>
      <c r="C241" s="35" t="s">
        <v>219</v>
      </c>
      <c r="D241" s="17">
        <f t="shared" si="3"/>
        <v>20.13</v>
      </c>
      <c r="E241" s="17">
        <v>19.12</v>
      </c>
      <c r="F241" s="17">
        <v>20.13</v>
      </c>
    </row>
    <row r="242" spans="1:6" ht="15" customHeight="1" x14ac:dyDescent="0.25">
      <c r="A242" s="20">
        <v>92415</v>
      </c>
      <c r="B242" s="9" t="s">
        <v>1215</v>
      </c>
      <c r="C242" s="35" t="s">
        <v>219</v>
      </c>
      <c r="D242" s="17">
        <f t="shared" si="3"/>
        <v>94.73</v>
      </c>
      <c r="E242" s="17">
        <v>90.16</v>
      </c>
      <c r="F242" s="17">
        <v>94.73</v>
      </c>
    </row>
    <row r="243" spans="1:6" ht="15" customHeight="1" x14ac:dyDescent="0.25">
      <c r="A243" s="20">
        <v>92427</v>
      </c>
      <c r="B243" s="9" t="s">
        <v>1216</v>
      </c>
      <c r="C243" s="35" t="s">
        <v>219</v>
      </c>
      <c r="D243" s="17">
        <f t="shared" si="3"/>
        <v>39.479999999999997</v>
      </c>
      <c r="E243" s="17">
        <v>37.299999999999997</v>
      </c>
      <c r="F243" s="17">
        <v>39.479999999999997</v>
      </c>
    </row>
    <row r="244" spans="1:6" ht="15" customHeight="1" x14ac:dyDescent="0.25">
      <c r="A244" s="20">
        <v>92451</v>
      </c>
      <c r="B244" s="9" t="s">
        <v>1217</v>
      </c>
      <c r="C244" s="35" t="s">
        <v>219</v>
      </c>
      <c r="D244" s="17">
        <f t="shared" si="3"/>
        <v>140.72</v>
      </c>
      <c r="E244" s="17">
        <v>135.38999999999999</v>
      </c>
      <c r="F244" s="17">
        <v>140.72</v>
      </c>
    </row>
    <row r="245" spans="1:6" ht="15" customHeight="1" x14ac:dyDescent="0.25">
      <c r="A245" s="20">
        <v>92463</v>
      </c>
      <c r="B245" s="9" t="s">
        <v>1218</v>
      </c>
      <c r="C245" s="35" t="s">
        <v>219</v>
      </c>
      <c r="D245" s="17">
        <f t="shared" si="3"/>
        <v>89.86</v>
      </c>
      <c r="E245" s="17">
        <v>86.37</v>
      </c>
      <c r="F245" s="17">
        <v>89.86</v>
      </c>
    </row>
    <row r="246" spans="1:6" ht="15" customHeight="1" x14ac:dyDescent="0.25">
      <c r="A246" s="20">
        <v>101982</v>
      </c>
      <c r="B246" s="9" t="s">
        <v>1219</v>
      </c>
      <c r="C246" s="35" t="s">
        <v>219</v>
      </c>
      <c r="D246" s="17">
        <f t="shared" si="3"/>
        <v>141.51</v>
      </c>
      <c r="E246" s="17">
        <v>133.61000000000001</v>
      </c>
      <c r="F246" s="17">
        <v>141.51</v>
      </c>
    </row>
    <row r="247" spans="1:6" ht="15" customHeight="1" x14ac:dyDescent="0.25">
      <c r="A247" s="20">
        <v>88282</v>
      </c>
      <c r="B247" s="9" t="s">
        <v>1220</v>
      </c>
      <c r="C247" s="35" t="s">
        <v>981</v>
      </c>
      <c r="D247" s="17">
        <f t="shared" si="3"/>
        <v>22.15</v>
      </c>
      <c r="E247" s="17">
        <v>19.66</v>
      </c>
      <c r="F247" s="17">
        <v>22.15</v>
      </c>
    </row>
    <row r="248" spans="1:6" ht="15" customHeight="1" x14ac:dyDescent="0.25">
      <c r="A248" s="16" t="s">
        <v>318</v>
      </c>
      <c r="B248" s="9" t="s">
        <v>1221</v>
      </c>
      <c r="C248" s="35" t="s">
        <v>979</v>
      </c>
      <c r="D248" s="17">
        <f t="shared" si="3"/>
        <v>234.92</v>
      </c>
      <c r="E248" s="17">
        <v>234.92</v>
      </c>
      <c r="F248" s="17">
        <v>234.92</v>
      </c>
    </row>
    <row r="249" spans="1:6" ht="15" customHeight="1" x14ac:dyDescent="0.25">
      <c r="A249" s="20">
        <v>88377</v>
      </c>
      <c r="B249" s="9" t="s">
        <v>1222</v>
      </c>
      <c r="C249" s="35" t="s">
        <v>981</v>
      </c>
      <c r="D249" s="17">
        <f t="shared" si="3"/>
        <v>19.809999999999999</v>
      </c>
      <c r="E249" s="17">
        <v>17.64</v>
      </c>
      <c r="F249" s="17">
        <v>19.809999999999999</v>
      </c>
    </row>
    <row r="250" spans="1:6" ht="15" customHeight="1" x14ac:dyDescent="0.25">
      <c r="A250" s="20">
        <v>88295</v>
      </c>
      <c r="B250" s="9" t="s">
        <v>1223</v>
      </c>
      <c r="C250" s="35" t="s">
        <v>981</v>
      </c>
      <c r="D250" s="17">
        <f t="shared" si="3"/>
        <v>23.08</v>
      </c>
      <c r="E250" s="17">
        <v>20.46</v>
      </c>
      <c r="F250" s="17">
        <v>23.08</v>
      </c>
    </row>
    <row r="251" spans="1:6" ht="15" customHeight="1" x14ac:dyDescent="0.25">
      <c r="A251" s="20">
        <v>88296</v>
      </c>
      <c r="B251" s="9" t="s">
        <v>1224</v>
      </c>
      <c r="C251" s="35" t="s">
        <v>981</v>
      </c>
      <c r="D251" s="17">
        <f t="shared" si="3"/>
        <v>23.67</v>
      </c>
      <c r="E251" s="17">
        <v>20.98</v>
      </c>
      <c r="F251" s="17">
        <v>23.67</v>
      </c>
    </row>
    <row r="252" spans="1:6" ht="15" customHeight="1" x14ac:dyDescent="0.25">
      <c r="A252" s="20">
        <v>88297</v>
      </c>
      <c r="B252" s="9" t="s">
        <v>1225</v>
      </c>
      <c r="C252" s="35" t="s">
        <v>981</v>
      </c>
      <c r="D252" s="17">
        <f t="shared" si="3"/>
        <v>25.04</v>
      </c>
      <c r="E252" s="17">
        <v>22.15</v>
      </c>
      <c r="F252" s="17">
        <v>25.04</v>
      </c>
    </row>
    <row r="253" spans="1:6" ht="15" customHeight="1" x14ac:dyDescent="0.25">
      <c r="A253" s="20">
        <v>90455</v>
      </c>
      <c r="B253" s="9" t="s">
        <v>1226</v>
      </c>
      <c r="C253" s="35" t="s">
        <v>979</v>
      </c>
      <c r="D253" s="17">
        <f t="shared" si="3"/>
        <v>5.38</v>
      </c>
      <c r="E253" s="17">
        <v>5.05</v>
      </c>
      <c r="F253" s="17">
        <v>5.38</v>
      </c>
    </row>
    <row r="254" spans="1:6" ht="15" customHeight="1" x14ac:dyDescent="0.25">
      <c r="A254" s="20">
        <v>90453</v>
      </c>
      <c r="B254" s="9" t="s">
        <v>1227</v>
      </c>
      <c r="C254" s="35" t="s">
        <v>979</v>
      </c>
      <c r="D254" s="17">
        <f t="shared" si="3"/>
        <v>2.27</v>
      </c>
      <c r="E254" s="17">
        <v>2.13</v>
      </c>
      <c r="F254" s="17">
        <v>2.27</v>
      </c>
    </row>
    <row r="255" spans="1:6" ht="15" customHeight="1" x14ac:dyDescent="0.25">
      <c r="A255" s="20">
        <v>88309</v>
      </c>
      <c r="B255" s="9" t="s">
        <v>1228</v>
      </c>
      <c r="C255" s="35" t="s">
        <v>981</v>
      </c>
      <c r="D255" s="17">
        <f t="shared" si="3"/>
        <v>19.850000000000001</v>
      </c>
      <c r="E255" s="17">
        <v>17.79</v>
      </c>
      <c r="F255" s="17">
        <v>19.850000000000001</v>
      </c>
    </row>
    <row r="256" spans="1:6" ht="15" customHeight="1" x14ac:dyDescent="0.25">
      <c r="A256" s="20">
        <v>88310</v>
      </c>
      <c r="B256" s="9" t="s">
        <v>1229</v>
      </c>
      <c r="C256" s="35" t="s">
        <v>981</v>
      </c>
      <c r="D256" s="17">
        <f t="shared" si="3"/>
        <v>20.85</v>
      </c>
      <c r="E256" s="17">
        <v>18.8</v>
      </c>
      <c r="F256" s="17">
        <v>20.85</v>
      </c>
    </row>
    <row r="257" spans="1:6" ht="15" customHeight="1" x14ac:dyDescent="0.25">
      <c r="A257" s="16" t="s">
        <v>409</v>
      </c>
      <c r="B257" s="9" t="s">
        <v>1230</v>
      </c>
      <c r="C257" s="35" t="s">
        <v>219</v>
      </c>
      <c r="D257" s="17">
        <f t="shared" si="3"/>
        <v>14.4</v>
      </c>
      <c r="E257" s="17">
        <v>14.4</v>
      </c>
      <c r="F257" s="17">
        <v>14.4</v>
      </c>
    </row>
    <row r="258" spans="1:6" ht="15" customHeight="1" x14ac:dyDescent="0.25">
      <c r="A258" s="20">
        <v>89957</v>
      </c>
      <c r="B258" s="9" t="s">
        <v>1231</v>
      </c>
      <c r="C258" s="35" t="s">
        <v>979</v>
      </c>
      <c r="D258" s="17">
        <f t="shared" ref="D258:D319" si="4">IF(ONERA="COM DESONERAÇÃO",E258,F258)</f>
        <v>110.12</v>
      </c>
      <c r="E258" s="17">
        <v>101.38</v>
      </c>
      <c r="F258" s="17">
        <v>110.12</v>
      </c>
    </row>
    <row r="259" spans="1:6" ht="15" customHeight="1" x14ac:dyDescent="0.25">
      <c r="A259" s="16" t="s">
        <v>420</v>
      </c>
      <c r="B259" s="9" t="s">
        <v>1232</v>
      </c>
      <c r="C259" s="35" t="s">
        <v>979</v>
      </c>
      <c r="D259" s="17">
        <f t="shared" si="4"/>
        <v>70.959999999999994</v>
      </c>
      <c r="E259" s="17">
        <v>70.959999999999994</v>
      </c>
      <c r="F259" s="17">
        <v>70.959999999999994</v>
      </c>
    </row>
    <row r="260" spans="1:6" ht="15" customHeight="1" x14ac:dyDescent="0.25">
      <c r="A260" s="16" t="s">
        <v>425</v>
      </c>
      <c r="B260" s="9" t="s">
        <v>1233</v>
      </c>
      <c r="C260" s="35" t="s">
        <v>1234</v>
      </c>
      <c r="D260" s="17">
        <f t="shared" si="4"/>
        <v>114.24</v>
      </c>
      <c r="E260" s="17">
        <v>114.24</v>
      </c>
      <c r="F260" s="17">
        <v>114.24</v>
      </c>
    </row>
    <row r="261" spans="1:6" ht="15" customHeight="1" x14ac:dyDescent="0.25">
      <c r="A261" s="16" t="s">
        <v>489</v>
      </c>
      <c r="B261" s="9" t="s">
        <v>1235</v>
      </c>
      <c r="C261" s="35" t="s">
        <v>1234</v>
      </c>
      <c r="D261" s="17">
        <f t="shared" si="4"/>
        <v>219.35</v>
      </c>
      <c r="E261" s="17">
        <v>219.35</v>
      </c>
      <c r="F261" s="17">
        <v>219.35</v>
      </c>
    </row>
    <row r="262" spans="1:6" ht="15" customHeight="1" x14ac:dyDescent="0.25">
      <c r="A262" s="16" t="s">
        <v>388</v>
      </c>
      <c r="B262" s="9" t="s">
        <v>1236</v>
      </c>
      <c r="C262" s="35" t="s">
        <v>219</v>
      </c>
      <c r="D262" s="17">
        <f t="shared" si="4"/>
        <v>398.56</v>
      </c>
      <c r="E262" s="17">
        <v>398.56</v>
      </c>
      <c r="F262" s="17">
        <v>398.56</v>
      </c>
    </row>
    <row r="263" spans="1:6" ht="15" customHeight="1" x14ac:dyDescent="0.25">
      <c r="A263" s="20">
        <v>91341</v>
      </c>
      <c r="B263" s="9" t="s">
        <v>1237</v>
      </c>
      <c r="C263" s="35" t="s">
        <v>219</v>
      </c>
      <c r="D263" s="17">
        <f t="shared" si="4"/>
        <v>547.84</v>
      </c>
      <c r="E263" s="17">
        <v>546.77</v>
      </c>
      <c r="F263" s="17">
        <v>547.84</v>
      </c>
    </row>
    <row r="264" spans="1:6" ht="15" customHeight="1" x14ac:dyDescent="0.25">
      <c r="A264" s="16" t="s">
        <v>393</v>
      </c>
      <c r="B264" s="9" t="s">
        <v>1238</v>
      </c>
      <c r="C264" s="35" t="s">
        <v>219</v>
      </c>
      <c r="D264" s="17">
        <f t="shared" si="4"/>
        <v>281.81</v>
      </c>
      <c r="E264" s="17">
        <v>281.81</v>
      </c>
      <c r="F264" s="17">
        <v>281.81</v>
      </c>
    </row>
    <row r="265" spans="1:6" ht="15" customHeight="1" x14ac:dyDescent="0.25">
      <c r="A265" s="16" t="s">
        <v>332</v>
      </c>
      <c r="B265" s="9" t="s">
        <v>1239</v>
      </c>
      <c r="C265" s="35" t="s">
        <v>979</v>
      </c>
      <c r="D265" s="17">
        <f t="shared" si="4"/>
        <v>715.67</v>
      </c>
      <c r="E265" s="17">
        <v>715.67</v>
      </c>
      <c r="F265" s="17">
        <v>715.67</v>
      </c>
    </row>
    <row r="266" spans="1:6" ht="15" customHeight="1" x14ac:dyDescent="0.25">
      <c r="A266" s="16" t="s">
        <v>465</v>
      </c>
      <c r="B266" s="9" t="s">
        <v>1240</v>
      </c>
      <c r="C266" s="35" t="s">
        <v>979</v>
      </c>
      <c r="D266" s="17">
        <f t="shared" si="4"/>
        <v>605.94000000000005</v>
      </c>
      <c r="E266" s="17">
        <v>605.94000000000005</v>
      </c>
      <c r="F266" s="17">
        <v>605.94000000000005</v>
      </c>
    </row>
    <row r="267" spans="1:6" ht="15" customHeight="1" x14ac:dyDescent="0.25">
      <c r="A267" s="16" t="s">
        <v>323</v>
      </c>
      <c r="B267" s="9" t="s">
        <v>1241</v>
      </c>
      <c r="C267" s="35" t="s">
        <v>979</v>
      </c>
      <c r="D267" s="17">
        <f t="shared" si="4"/>
        <v>246.16</v>
      </c>
      <c r="E267" s="17">
        <v>246.16</v>
      </c>
      <c r="F267" s="17">
        <v>246.16</v>
      </c>
    </row>
    <row r="268" spans="1:6" ht="15" customHeight="1" x14ac:dyDescent="0.25">
      <c r="A268" s="16" t="s">
        <v>427</v>
      </c>
      <c r="B268" s="9" t="s">
        <v>1242</v>
      </c>
      <c r="C268" s="35" t="s">
        <v>979</v>
      </c>
      <c r="D268" s="17">
        <f t="shared" si="4"/>
        <v>30.08</v>
      </c>
      <c r="E268" s="17">
        <v>30.08</v>
      </c>
      <c r="F268" s="17">
        <v>30.08</v>
      </c>
    </row>
    <row r="269" spans="1:6" ht="15" customHeight="1" x14ac:dyDescent="0.25">
      <c r="A269" s="20">
        <v>90443</v>
      </c>
      <c r="B269" s="9" t="s">
        <v>1243</v>
      </c>
      <c r="C269" s="35" t="s">
        <v>970</v>
      </c>
      <c r="D269" s="17">
        <f t="shared" si="4"/>
        <v>9.73</v>
      </c>
      <c r="E269" s="17">
        <v>8.7100000000000009</v>
      </c>
      <c r="F269" s="17">
        <v>9.73</v>
      </c>
    </row>
    <row r="270" spans="1:6" ht="15" customHeight="1" x14ac:dyDescent="0.25">
      <c r="A270" s="16" t="s">
        <v>449</v>
      </c>
      <c r="B270" s="9" t="s">
        <v>1244</v>
      </c>
      <c r="C270" s="35" t="s">
        <v>974</v>
      </c>
      <c r="D270" s="17">
        <f t="shared" si="4"/>
        <v>29.14</v>
      </c>
      <c r="E270" s="17">
        <v>29.14</v>
      </c>
      <c r="F270" s="17">
        <v>29.14</v>
      </c>
    </row>
    <row r="271" spans="1:6" ht="15" customHeight="1" x14ac:dyDescent="0.25">
      <c r="A271" s="16" t="s">
        <v>316</v>
      </c>
      <c r="B271" s="9" t="s">
        <v>1245</v>
      </c>
      <c r="C271" s="35" t="s">
        <v>974</v>
      </c>
      <c r="D271" s="17">
        <f t="shared" si="4"/>
        <v>13.53</v>
      </c>
      <c r="E271" s="17">
        <v>13.53</v>
      </c>
      <c r="F271" s="17">
        <v>13.53</v>
      </c>
    </row>
    <row r="272" spans="1:6" ht="15" customHeight="1" x14ac:dyDescent="0.25">
      <c r="A272" s="16" t="s">
        <v>431</v>
      </c>
      <c r="B272" s="9" t="s">
        <v>1246</v>
      </c>
      <c r="C272" s="35" t="s">
        <v>974</v>
      </c>
      <c r="D272" s="17">
        <f t="shared" si="4"/>
        <v>27.03</v>
      </c>
      <c r="E272" s="17">
        <v>27.03</v>
      </c>
      <c r="F272" s="17">
        <v>27.03</v>
      </c>
    </row>
    <row r="273" spans="1:6" ht="15" customHeight="1" x14ac:dyDescent="0.25">
      <c r="A273" s="16" t="s">
        <v>557</v>
      </c>
      <c r="B273" s="9" t="s">
        <v>1247</v>
      </c>
      <c r="C273" s="35" t="s">
        <v>219</v>
      </c>
      <c r="D273" s="17">
        <f t="shared" si="4"/>
        <v>29.78</v>
      </c>
      <c r="E273" s="17">
        <v>29.78</v>
      </c>
      <c r="F273" s="17">
        <v>29.78</v>
      </c>
    </row>
    <row r="274" spans="1:6" ht="15" customHeight="1" x14ac:dyDescent="0.25">
      <c r="A274" s="16" t="s">
        <v>437</v>
      </c>
      <c r="B274" s="9" t="s">
        <v>1248</v>
      </c>
      <c r="C274" s="35" t="s">
        <v>219</v>
      </c>
      <c r="D274" s="17">
        <f t="shared" si="4"/>
        <v>27.23</v>
      </c>
      <c r="E274" s="17">
        <v>27.23</v>
      </c>
      <c r="F274" s="17">
        <v>27.23</v>
      </c>
    </row>
    <row r="275" spans="1:6" ht="15" customHeight="1" x14ac:dyDescent="0.25">
      <c r="A275" s="16" t="s">
        <v>494</v>
      </c>
      <c r="B275" s="9" t="s">
        <v>1249</v>
      </c>
      <c r="C275" s="35" t="s">
        <v>974</v>
      </c>
      <c r="D275" s="17">
        <f t="shared" si="4"/>
        <v>50</v>
      </c>
      <c r="E275" s="17">
        <v>50</v>
      </c>
      <c r="F275" s="17">
        <v>50</v>
      </c>
    </row>
    <row r="276" spans="1:6" ht="15" customHeight="1" x14ac:dyDescent="0.25">
      <c r="A276" s="20">
        <v>99198</v>
      </c>
      <c r="B276" s="9" t="s">
        <v>1250</v>
      </c>
      <c r="C276" s="35" t="s">
        <v>219</v>
      </c>
      <c r="D276" s="17">
        <f t="shared" si="4"/>
        <v>58.63</v>
      </c>
      <c r="E276" s="17">
        <v>56.32</v>
      </c>
      <c r="F276" s="17">
        <v>58.63</v>
      </c>
    </row>
    <row r="277" spans="1:6" ht="15" customHeight="1" x14ac:dyDescent="0.25">
      <c r="A277" s="20">
        <v>87247</v>
      </c>
      <c r="B277" s="9" t="s">
        <v>1251</v>
      </c>
      <c r="C277" s="35" t="s">
        <v>219</v>
      </c>
      <c r="D277" s="17">
        <f t="shared" si="4"/>
        <v>53.64</v>
      </c>
      <c r="E277" s="17">
        <v>52.25</v>
      </c>
      <c r="F277" s="17">
        <v>53.64</v>
      </c>
    </row>
    <row r="278" spans="1:6" ht="15" customHeight="1" x14ac:dyDescent="0.25">
      <c r="A278" s="20">
        <v>87248</v>
      </c>
      <c r="B278" s="9" t="s">
        <v>1252</v>
      </c>
      <c r="C278" s="35" t="s">
        <v>219</v>
      </c>
      <c r="D278" s="17">
        <f t="shared" si="4"/>
        <v>48.45</v>
      </c>
      <c r="E278" s="17">
        <v>47.62</v>
      </c>
      <c r="F278" s="17">
        <v>48.45</v>
      </c>
    </row>
    <row r="279" spans="1:6" ht="15" customHeight="1" x14ac:dyDescent="0.25">
      <c r="A279" s="20">
        <v>87246</v>
      </c>
      <c r="B279" s="9" t="s">
        <v>1253</v>
      </c>
      <c r="C279" s="35" t="s">
        <v>219</v>
      </c>
      <c r="D279" s="17">
        <f t="shared" si="4"/>
        <v>60.14</v>
      </c>
      <c r="E279" s="17">
        <v>58.13</v>
      </c>
      <c r="F279" s="17">
        <v>60.14</v>
      </c>
    </row>
    <row r="280" spans="1:6" ht="15" customHeight="1" x14ac:dyDescent="0.25">
      <c r="A280" s="20">
        <v>91693</v>
      </c>
      <c r="B280" s="9" t="s">
        <v>1254</v>
      </c>
      <c r="C280" s="35" t="s">
        <v>1021</v>
      </c>
      <c r="D280" s="17">
        <f t="shared" si="4"/>
        <v>25.14</v>
      </c>
      <c r="E280" s="17">
        <v>22.25</v>
      </c>
      <c r="F280" s="17">
        <v>25.14</v>
      </c>
    </row>
    <row r="281" spans="1:6" ht="15" customHeight="1" x14ac:dyDescent="0.25">
      <c r="A281" s="20">
        <v>91692</v>
      </c>
      <c r="B281" s="9" t="s">
        <v>1255</v>
      </c>
      <c r="C281" s="35" t="s">
        <v>1023</v>
      </c>
      <c r="D281" s="17">
        <f t="shared" si="4"/>
        <v>27.6</v>
      </c>
      <c r="E281" s="17">
        <v>24.71</v>
      </c>
      <c r="F281" s="17">
        <v>27.6</v>
      </c>
    </row>
    <row r="282" spans="1:6" ht="15" customHeight="1" x14ac:dyDescent="0.25">
      <c r="A282" s="20">
        <v>91688</v>
      </c>
      <c r="B282" s="9" t="s">
        <v>1256</v>
      </c>
      <c r="C282" s="35" t="s">
        <v>981</v>
      </c>
      <c r="D282" s="17">
        <f t="shared" si="4"/>
        <v>0.09</v>
      </c>
      <c r="E282" s="17">
        <v>0.09</v>
      </c>
      <c r="F282" s="17">
        <v>0.09</v>
      </c>
    </row>
    <row r="283" spans="1:6" ht="15" customHeight="1" x14ac:dyDescent="0.25">
      <c r="A283" s="20">
        <v>91689</v>
      </c>
      <c r="B283" s="9" t="s">
        <v>1257</v>
      </c>
      <c r="C283" s="35" t="s">
        <v>981</v>
      </c>
      <c r="D283" s="17">
        <f t="shared" si="4"/>
        <v>0.01</v>
      </c>
      <c r="E283" s="17">
        <v>0.01</v>
      </c>
      <c r="F283" s="17">
        <v>0.01</v>
      </c>
    </row>
    <row r="284" spans="1:6" ht="15" customHeight="1" x14ac:dyDescent="0.25">
      <c r="A284" s="20">
        <v>91690</v>
      </c>
      <c r="B284" s="9" t="s">
        <v>1258</v>
      </c>
      <c r="C284" s="35" t="s">
        <v>981</v>
      </c>
      <c r="D284" s="17">
        <f t="shared" si="4"/>
        <v>0.06</v>
      </c>
      <c r="E284" s="17">
        <v>0.06</v>
      </c>
      <c r="F284" s="17">
        <v>0.06</v>
      </c>
    </row>
    <row r="285" spans="1:6" ht="15" customHeight="1" x14ac:dyDescent="0.25">
      <c r="A285" s="20">
        <v>91691</v>
      </c>
      <c r="B285" s="9" t="s">
        <v>1259</v>
      </c>
      <c r="C285" s="35" t="s">
        <v>981</v>
      </c>
      <c r="D285" s="17">
        <f t="shared" si="4"/>
        <v>2.4</v>
      </c>
      <c r="E285" s="17">
        <v>2.4</v>
      </c>
      <c r="F285" s="17">
        <v>2.4</v>
      </c>
    </row>
    <row r="286" spans="1:6" ht="15" customHeight="1" x14ac:dyDescent="0.25">
      <c r="A286" s="20">
        <v>88316</v>
      </c>
      <c r="B286" s="9" t="s">
        <v>1260</v>
      </c>
      <c r="C286" s="35" t="s">
        <v>981</v>
      </c>
      <c r="D286" s="17">
        <f t="shared" si="4"/>
        <v>15.35</v>
      </c>
      <c r="E286" s="17">
        <v>13.88</v>
      </c>
      <c r="F286" s="17">
        <v>15.35</v>
      </c>
    </row>
    <row r="287" spans="1:6" ht="15" customHeight="1" x14ac:dyDescent="0.25">
      <c r="A287" s="16" t="s">
        <v>340</v>
      </c>
      <c r="B287" s="9" t="s">
        <v>1261</v>
      </c>
      <c r="C287" s="35" t="s">
        <v>970</v>
      </c>
      <c r="D287" s="17">
        <f t="shared" si="4"/>
        <v>235.12</v>
      </c>
      <c r="E287" s="17">
        <v>235.12</v>
      </c>
      <c r="F287" s="17">
        <v>235.12</v>
      </c>
    </row>
    <row r="288" spans="1:6" ht="15" customHeight="1" x14ac:dyDescent="0.25">
      <c r="A288" s="20">
        <v>98689</v>
      </c>
      <c r="B288" s="9" t="s">
        <v>1262</v>
      </c>
      <c r="C288" s="35" t="s">
        <v>970</v>
      </c>
      <c r="D288" s="17">
        <f t="shared" si="4"/>
        <v>77.489999999999995</v>
      </c>
      <c r="E288" s="17">
        <v>75.790000000000006</v>
      </c>
      <c r="F288" s="17">
        <v>77.489999999999995</v>
      </c>
    </row>
    <row r="289" spans="1:6" ht="15" customHeight="1" x14ac:dyDescent="0.25">
      <c r="A289" s="16" t="s">
        <v>484</v>
      </c>
      <c r="B289" s="9" t="s">
        <v>1263</v>
      </c>
      <c r="C289" s="35" t="s">
        <v>979</v>
      </c>
      <c r="D289" s="17">
        <f t="shared" si="4"/>
        <v>4.3499999999999996</v>
      </c>
      <c r="E289" s="17">
        <v>4.3499999999999996</v>
      </c>
      <c r="F289" s="17">
        <v>4.3499999999999996</v>
      </c>
    </row>
    <row r="290" spans="1:6" ht="15" customHeight="1" x14ac:dyDescent="0.25">
      <c r="A290" s="20">
        <v>91946</v>
      </c>
      <c r="B290" s="9" t="s">
        <v>1264</v>
      </c>
      <c r="C290" s="35" t="s">
        <v>979</v>
      </c>
      <c r="D290" s="17">
        <f t="shared" si="4"/>
        <v>6.81</v>
      </c>
      <c r="E290" s="17">
        <v>6.55</v>
      </c>
      <c r="F290" s="17">
        <v>6.81</v>
      </c>
    </row>
    <row r="291" spans="1:6" ht="15" customHeight="1" x14ac:dyDescent="0.25">
      <c r="A291" s="20">
        <v>89396</v>
      </c>
      <c r="B291" s="9" t="s">
        <v>1265</v>
      </c>
      <c r="C291" s="35" t="s">
        <v>979</v>
      </c>
      <c r="D291" s="17">
        <f t="shared" si="4"/>
        <v>18.12</v>
      </c>
      <c r="E291" s="17">
        <v>17.420000000000002</v>
      </c>
      <c r="F291" s="17">
        <v>18.12</v>
      </c>
    </row>
    <row r="292" spans="1:6" ht="15" customHeight="1" x14ac:dyDescent="0.25">
      <c r="A292" s="20">
        <v>89622</v>
      </c>
      <c r="B292" s="9" t="s">
        <v>1266</v>
      </c>
      <c r="C292" s="35" t="s">
        <v>979</v>
      </c>
      <c r="D292" s="17">
        <f t="shared" si="4"/>
        <v>12.04</v>
      </c>
      <c r="E292" s="17">
        <v>11.7</v>
      </c>
      <c r="F292" s="17">
        <v>12.04</v>
      </c>
    </row>
    <row r="293" spans="1:6" ht="15" customHeight="1" x14ac:dyDescent="0.25">
      <c r="A293" s="20">
        <v>89445</v>
      </c>
      <c r="B293" s="9" t="s">
        <v>1267</v>
      </c>
      <c r="C293" s="35" t="s">
        <v>979</v>
      </c>
      <c r="D293" s="17">
        <f t="shared" si="4"/>
        <v>13.63</v>
      </c>
      <c r="E293" s="17">
        <v>13.14</v>
      </c>
      <c r="F293" s="17">
        <v>13.63</v>
      </c>
    </row>
    <row r="294" spans="1:6" ht="15" customHeight="1" x14ac:dyDescent="0.25">
      <c r="A294" s="20">
        <v>89400</v>
      </c>
      <c r="B294" s="9" t="s">
        <v>1268</v>
      </c>
      <c r="C294" s="35" t="s">
        <v>979</v>
      </c>
      <c r="D294" s="17">
        <f t="shared" si="4"/>
        <v>16.989999999999998</v>
      </c>
      <c r="E294" s="17">
        <v>16.14</v>
      </c>
      <c r="F294" s="17">
        <v>16.989999999999998</v>
      </c>
    </row>
    <row r="295" spans="1:6" ht="15" customHeight="1" x14ac:dyDescent="0.25">
      <c r="A295" s="20">
        <v>89627</v>
      </c>
      <c r="B295" s="9" t="s">
        <v>1269</v>
      </c>
      <c r="C295" s="35" t="s">
        <v>979</v>
      </c>
      <c r="D295" s="17">
        <f t="shared" si="4"/>
        <v>18.440000000000001</v>
      </c>
      <c r="E295" s="17">
        <v>17.940000000000001</v>
      </c>
      <c r="F295" s="17">
        <v>18.440000000000001</v>
      </c>
    </row>
    <row r="296" spans="1:6" ht="15" customHeight="1" x14ac:dyDescent="0.25">
      <c r="A296" s="20">
        <v>89833</v>
      </c>
      <c r="B296" s="9" t="s">
        <v>1270</v>
      </c>
      <c r="C296" s="35" t="s">
        <v>979</v>
      </c>
      <c r="D296" s="17">
        <f t="shared" si="4"/>
        <v>29.86</v>
      </c>
      <c r="E296" s="17">
        <v>29.3</v>
      </c>
      <c r="F296" s="17">
        <v>29.86</v>
      </c>
    </row>
    <row r="297" spans="1:6" ht="15" customHeight="1" x14ac:dyDescent="0.25">
      <c r="A297" s="20">
        <v>89796</v>
      </c>
      <c r="B297" s="9" t="s">
        <v>1271</v>
      </c>
      <c r="C297" s="35" t="s">
        <v>979</v>
      </c>
      <c r="D297" s="17">
        <f t="shared" si="4"/>
        <v>35.700000000000003</v>
      </c>
      <c r="E297" s="17">
        <v>34.54</v>
      </c>
      <c r="F297" s="17">
        <v>35.700000000000003</v>
      </c>
    </row>
    <row r="298" spans="1:6" ht="15" customHeight="1" x14ac:dyDescent="0.25">
      <c r="A298" s="20">
        <v>89440</v>
      </c>
      <c r="B298" s="9" t="s">
        <v>1272</v>
      </c>
      <c r="C298" s="35" t="s">
        <v>979</v>
      </c>
      <c r="D298" s="17">
        <f t="shared" si="4"/>
        <v>6.97</v>
      </c>
      <c r="E298" s="17">
        <v>6.55</v>
      </c>
      <c r="F298" s="17">
        <v>6.97</v>
      </c>
    </row>
    <row r="299" spans="1:6" ht="15" customHeight="1" x14ac:dyDescent="0.25">
      <c r="A299" s="20">
        <v>89395</v>
      </c>
      <c r="B299" s="9" t="s">
        <v>1273</v>
      </c>
      <c r="C299" s="35" t="s">
        <v>979</v>
      </c>
      <c r="D299" s="17">
        <f t="shared" si="4"/>
        <v>9.7799999999999994</v>
      </c>
      <c r="E299" s="17">
        <v>9.08</v>
      </c>
      <c r="F299" s="17">
        <v>9.7799999999999994</v>
      </c>
    </row>
    <row r="300" spans="1:6" ht="15" customHeight="1" x14ac:dyDescent="0.25">
      <c r="A300" s="20">
        <v>88323</v>
      </c>
      <c r="B300" s="9" t="s">
        <v>1274</v>
      </c>
      <c r="C300" s="35" t="s">
        <v>981</v>
      </c>
      <c r="D300" s="17">
        <f t="shared" si="4"/>
        <v>22.56</v>
      </c>
      <c r="E300" s="17">
        <v>20.12</v>
      </c>
      <c r="F300" s="17">
        <v>22.56</v>
      </c>
    </row>
    <row r="301" spans="1:6" ht="15" customHeight="1" x14ac:dyDescent="0.25">
      <c r="A301" s="20">
        <v>94204</v>
      </c>
      <c r="B301" s="9" t="s">
        <v>1275</v>
      </c>
      <c r="C301" s="35" t="s">
        <v>219</v>
      </c>
      <c r="D301" s="17">
        <f t="shared" si="4"/>
        <v>36.44</v>
      </c>
      <c r="E301" s="17">
        <v>34.83</v>
      </c>
      <c r="F301" s="17">
        <v>36.44</v>
      </c>
    </row>
    <row r="302" spans="1:6" ht="15" customHeight="1" x14ac:dyDescent="0.25">
      <c r="A302" s="16" t="s">
        <v>331</v>
      </c>
      <c r="B302" s="9" t="s">
        <v>1276</v>
      </c>
      <c r="C302" s="35" t="s">
        <v>979</v>
      </c>
      <c r="D302" s="17">
        <f t="shared" si="4"/>
        <v>1.78</v>
      </c>
      <c r="E302" s="17">
        <v>1.78</v>
      </c>
      <c r="F302" s="17">
        <v>1.78</v>
      </c>
    </row>
    <row r="303" spans="1:6" ht="15" customHeight="1" x14ac:dyDescent="0.25">
      <c r="A303" s="20">
        <v>92008</v>
      </c>
      <c r="B303" s="9" t="s">
        <v>1277</v>
      </c>
      <c r="C303" s="35" t="s">
        <v>979</v>
      </c>
      <c r="D303" s="17">
        <f t="shared" si="4"/>
        <v>36.630000000000003</v>
      </c>
      <c r="E303" s="17">
        <v>34.93</v>
      </c>
      <c r="F303" s="17">
        <v>36.630000000000003</v>
      </c>
    </row>
    <row r="304" spans="1:6" ht="15" customHeight="1" x14ac:dyDescent="0.25">
      <c r="A304" s="20">
        <v>92006</v>
      </c>
      <c r="B304" s="9" t="s">
        <v>1278</v>
      </c>
      <c r="C304" s="35" t="s">
        <v>979</v>
      </c>
      <c r="D304" s="17">
        <f t="shared" si="4"/>
        <v>29.82</v>
      </c>
      <c r="E304" s="17">
        <v>28.38</v>
      </c>
      <c r="F304" s="17">
        <v>29.82</v>
      </c>
    </row>
    <row r="305" spans="1:6" ht="15" customHeight="1" x14ac:dyDescent="0.25">
      <c r="A305" s="20">
        <v>92541</v>
      </c>
      <c r="B305" s="9" t="s">
        <v>1279</v>
      </c>
      <c r="C305" s="35" t="s">
        <v>219</v>
      </c>
      <c r="D305" s="17">
        <f t="shared" si="4"/>
        <v>61.44</v>
      </c>
      <c r="E305" s="17">
        <v>59.7</v>
      </c>
      <c r="F305" s="17">
        <v>61.44</v>
      </c>
    </row>
    <row r="306" spans="1:6" ht="15" customHeight="1" x14ac:dyDescent="0.25">
      <c r="A306" s="16" t="s">
        <v>445</v>
      </c>
      <c r="B306" s="9" t="s">
        <v>1280</v>
      </c>
      <c r="C306" s="35" t="s">
        <v>970</v>
      </c>
      <c r="D306" s="17">
        <f t="shared" si="4"/>
        <v>35.15</v>
      </c>
      <c r="E306" s="17">
        <v>35.15</v>
      </c>
      <c r="F306" s="17">
        <v>35.15</v>
      </c>
    </row>
    <row r="307" spans="1:6" ht="15" customHeight="1" x14ac:dyDescent="0.25">
      <c r="A307" s="20">
        <v>89800</v>
      </c>
      <c r="B307" s="9" t="s">
        <v>1281</v>
      </c>
      <c r="C307" s="35" t="s">
        <v>970</v>
      </c>
      <c r="D307" s="17">
        <f t="shared" si="4"/>
        <v>22.09</v>
      </c>
      <c r="E307" s="17">
        <v>21.53</v>
      </c>
      <c r="F307" s="17">
        <v>22.09</v>
      </c>
    </row>
    <row r="308" spans="1:6" ht="15" customHeight="1" x14ac:dyDescent="0.25">
      <c r="A308" s="20">
        <v>89714</v>
      </c>
      <c r="B308" s="9" t="s">
        <v>1282</v>
      </c>
      <c r="C308" s="35" t="s">
        <v>970</v>
      </c>
      <c r="D308" s="17">
        <f t="shared" si="4"/>
        <v>46.31</v>
      </c>
      <c r="E308" s="17">
        <v>43.7</v>
      </c>
      <c r="F308" s="17">
        <v>46.31</v>
      </c>
    </row>
    <row r="309" spans="1:6" ht="15" customHeight="1" x14ac:dyDescent="0.25">
      <c r="A309" s="20">
        <v>89848</v>
      </c>
      <c r="B309" s="9" t="s">
        <v>1283</v>
      </c>
      <c r="C309" s="35" t="s">
        <v>970</v>
      </c>
      <c r="D309" s="17">
        <f t="shared" si="4"/>
        <v>26.27</v>
      </c>
      <c r="E309" s="17">
        <v>25.33</v>
      </c>
      <c r="F309" s="17">
        <v>26.27</v>
      </c>
    </row>
    <row r="310" spans="1:6" ht="15" customHeight="1" x14ac:dyDescent="0.25">
      <c r="A310" s="20">
        <v>89446</v>
      </c>
      <c r="B310" s="9" t="s">
        <v>1284</v>
      </c>
      <c r="C310" s="35" t="s">
        <v>970</v>
      </c>
      <c r="D310" s="17">
        <f t="shared" si="4"/>
        <v>4.88</v>
      </c>
      <c r="E310" s="17">
        <v>4.83</v>
      </c>
      <c r="F310" s="17">
        <v>4.88</v>
      </c>
    </row>
    <row r="311" spans="1:6" ht="15" customHeight="1" x14ac:dyDescent="0.25">
      <c r="A311" s="20">
        <v>89402</v>
      </c>
      <c r="B311" s="9" t="s">
        <v>1285</v>
      </c>
      <c r="C311" s="35" t="s">
        <v>970</v>
      </c>
      <c r="D311" s="17">
        <f t="shared" si="4"/>
        <v>8.2899999999999991</v>
      </c>
      <c r="E311" s="17">
        <v>7.89</v>
      </c>
      <c r="F311" s="17">
        <v>8.2899999999999991</v>
      </c>
    </row>
    <row r="312" spans="1:6" ht="15" customHeight="1" x14ac:dyDescent="0.25">
      <c r="A312" s="20">
        <v>89356</v>
      </c>
      <c r="B312" s="9" t="s">
        <v>1286</v>
      </c>
      <c r="C312" s="35" t="s">
        <v>970</v>
      </c>
      <c r="D312" s="17">
        <f t="shared" si="4"/>
        <v>17.260000000000002</v>
      </c>
      <c r="E312" s="17">
        <v>15.96</v>
      </c>
      <c r="F312" s="17">
        <v>17.260000000000002</v>
      </c>
    </row>
    <row r="313" spans="1:6" ht="15" customHeight="1" x14ac:dyDescent="0.25">
      <c r="A313" s="20">
        <v>86888</v>
      </c>
      <c r="B313" s="9" t="s">
        <v>1287</v>
      </c>
      <c r="C313" s="35" t="s">
        <v>979</v>
      </c>
      <c r="D313" s="17">
        <f t="shared" si="4"/>
        <v>431.93</v>
      </c>
      <c r="E313" s="17">
        <v>429.68</v>
      </c>
      <c r="F313" s="17">
        <v>431.93</v>
      </c>
    </row>
    <row r="314" spans="1:6" ht="15" customHeight="1" x14ac:dyDescent="0.25">
      <c r="A314" s="20">
        <v>90587</v>
      </c>
      <c r="B314" s="9" t="s">
        <v>1288</v>
      </c>
      <c r="C314" s="35" t="s">
        <v>1021</v>
      </c>
      <c r="D314" s="17">
        <f t="shared" si="4"/>
        <v>0.44</v>
      </c>
      <c r="E314" s="17">
        <v>0.44</v>
      </c>
      <c r="F314" s="17">
        <v>0.44</v>
      </c>
    </row>
    <row r="315" spans="1:6" ht="15" customHeight="1" x14ac:dyDescent="0.25">
      <c r="A315" s="20">
        <v>90586</v>
      </c>
      <c r="B315" s="9" t="s">
        <v>1289</v>
      </c>
      <c r="C315" s="35" t="s">
        <v>1023</v>
      </c>
      <c r="D315" s="17">
        <f t="shared" si="4"/>
        <v>1.7</v>
      </c>
      <c r="E315" s="17">
        <v>1.7</v>
      </c>
      <c r="F315" s="17">
        <v>1.7</v>
      </c>
    </row>
    <row r="316" spans="1:6" ht="15" customHeight="1" x14ac:dyDescent="0.25">
      <c r="A316" s="20">
        <v>90582</v>
      </c>
      <c r="B316" s="9" t="s">
        <v>1290</v>
      </c>
      <c r="C316" s="35" t="s">
        <v>981</v>
      </c>
      <c r="D316" s="17">
        <f t="shared" si="4"/>
        <v>0.4</v>
      </c>
      <c r="E316" s="17">
        <v>0.4</v>
      </c>
      <c r="F316" s="17">
        <v>0.4</v>
      </c>
    </row>
    <row r="317" spans="1:6" ht="15" customHeight="1" x14ac:dyDescent="0.25">
      <c r="A317" s="20">
        <v>90583</v>
      </c>
      <c r="B317" s="9" t="s">
        <v>1291</v>
      </c>
      <c r="C317" s="35" t="s">
        <v>981</v>
      </c>
      <c r="D317" s="17">
        <f t="shared" si="4"/>
        <v>0.04</v>
      </c>
      <c r="E317" s="17">
        <v>0.04</v>
      </c>
      <c r="F317" s="17">
        <v>0.04</v>
      </c>
    </row>
    <row r="318" spans="1:6" ht="15" customHeight="1" x14ac:dyDescent="0.25">
      <c r="A318" s="20">
        <v>90584</v>
      </c>
      <c r="B318" s="9" t="s">
        <v>1292</v>
      </c>
      <c r="C318" s="35" t="s">
        <v>981</v>
      </c>
      <c r="D318" s="17">
        <f t="shared" si="4"/>
        <v>0.31</v>
      </c>
      <c r="E318" s="17">
        <v>0.31</v>
      </c>
      <c r="F318" s="17">
        <v>0.31</v>
      </c>
    </row>
    <row r="319" spans="1:6" ht="15" customHeight="1" x14ac:dyDescent="0.25">
      <c r="A319" s="20">
        <v>90585</v>
      </c>
      <c r="B319" s="9" t="s">
        <v>1293</v>
      </c>
      <c r="C319" s="35" t="s">
        <v>981</v>
      </c>
      <c r="D319" s="17">
        <f t="shared" si="4"/>
        <v>0.95</v>
      </c>
      <c r="E319" s="17">
        <v>0.95</v>
      </c>
      <c r="F319" s="17">
        <v>0.95</v>
      </c>
    </row>
  </sheetData>
  <pageMargins left="0.511811024" right="0.511811024" top="0.78740157499999996" bottom="0.78740157499999996" header="0.31496062000000002" footer="0.31496062000000002"/>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
  <sheetViews>
    <sheetView showGridLines="0" view="pageBreakPreview" zoomScale="90" zoomScaleNormal="100" zoomScaleSheetLayoutView="90" workbookViewId="0">
      <selection activeCell="J42" sqref="J42"/>
    </sheetView>
  </sheetViews>
  <sheetFormatPr defaultRowHeight="15" customHeight="1" x14ac:dyDescent="0.25"/>
  <cols>
    <col min="1" max="1" width="17.140625" style="2" customWidth="1"/>
    <col min="2" max="2" width="102.85546875" style="2" customWidth="1"/>
    <col min="3" max="3" width="11.42578125" style="2" customWidth="1"/>
    <col min="4" max="6" width="17.140625" style="2" customWidth="1"/>
  </cols>
  <sheetData>
    <row r="1" spans="1:6" ht="15" customHeight="1" x14ac:dyDescent="0.25">
      <c r="A1" s="6" t="s">
        <v>962</v>
      </c>
      <c r="B1" s="6" t="s">
        <v>963</v>
      </c>
      <c r="C1" s="6" t="s">
        <v>964</v>
      </c>
      <c r="D1" s="6" t="s">
        <v>965</v>
      </c>
      <c r="E1" s="6" t="s">
        <v>966</v>
      </c>
      <c r="F1" s="6" t="s">
        <v>967</v>
      </c>
    </row>
    <row r="2" spans="1:6" ht="15" customHeight="1" x14ac:dyDescent="0.25">
      <c r="A2" s="20">
        <v>392</v>
      </c>
      <c r="B2" s="9" t="s">
        <v>1294</v>
      </c>
      <c r="C2" s="35" t="s">
        <v>979</v>
      </c>
      <c r="D2" s="17">
        <f t="shared" ref="D2:D65" si="0">IF(ONERA="COM DESONERAÇÃO",E2,F2)</f>
        <v>1.51</v>
      </c>
      <c r="E2" s="17">
        <v>1.51</v>
      </c>
      <c r="F2" s="17">
        <v>1.51</v>
      </c>
    </row>
    <row r="3" spans="1:6" ht="15" customHeight="1" x14ac:dyDescent="0.25">
      <c r="A3" s="16" t="s">
        <v>673</v>
      </c>
      <c r="B3" s="9" t="s">
        <v>1295</v>
      </c>
      <c r="C3" s="35" t="s">
        <v>976</v>
      </c>
      <c r="D3" s="17">
        <f t="shared" si="0"/>
        <v>11.51</v>
      </c>
      <c r="E3" s="17">
        <v>11.51</v>
      </c>
      <c r="F3" s="17">
        <v>11.51</v>
      </c>
    </row>
    <row r="4" spans="1:6" ht="15" customHeight="1" x14ac:dyDescent="0.25">
      <c r="A4" s="20">
        <v>34</v>
      </c>
      <c r="B4" s="9" t="s">
        <v>1296</v>
      </c>
      <c r="C4" s="35" t="s">
        <v>976</v>
      </c>
      <c r="D4" s="17">
        <f t="shared" si="0"/>
        <v>9.9700000000000006</v>
      </c>
      <c r="E4" s="17">
        <v>9.9700000000000006</v>
      </c>
      <c r="F4" s="17">
        <v>9.9700000000000006</v>
      </c>
    </row>
    <row r="5" spans="1:6" ht="15" customHeight="1" x14ac:dyDescent="0.25">
      <c r="A5" s="20">
        <v>43055</v>
      </c>
      <c r="B5" s="9" t="s">
        <v>1297</v>
      </c>
      <c r="C5" s="35" t="s">
        <v>976</v>
      </c>
      <c r="D5" s="17">
        <f t="shared" si="0"/>
        <v>8.64</v>
      </c>
      <c r="E5" s="17">
        <v>8.64</v>
      </c>
      <c r="F5" s="17">
        <v>8.64</v>
      </c>
    </row>
    <row r="6" spans="1:6" ht="15" customHeight="1" x14ac:dyDescent="0.25">
      <c r="A6" s="20">
        <v>43056</v>
      </c>
      <c r="B6" s="9" t="s">
        <v>1298</v>
      </c>
      <c r="C6" s="35" t="s">
        <v>976</v>
      </c>
      <c r="D6" s="17">
        <f t="shared" si="0"/>
        <v>9.9600000000000009</v>
      </c>
      <c r="E6" s="17">
        <v>9.9600000000000009</v>
      </c>
      <c r="F6" s="17">
        <v>9.9600000000000009</v>
      </c>
    </row>
    <row r="7" spans="1:6" ht="15" customHeight="1" x14ac:dyDescent="0.25">
      <c r="A7" s="20">
        <v>32</v>
      </c>
      <c r="B7" s="9" t="s">
        <v>1299</v>
      </c>
      <c r="C7" s="35" t="s">
        <v>976</v>
      </c>
      <c r="D7" s="17">
        <f t="shared" si="0"/>
        <v>10.52</v>
      </c>
      <c r="E7" s="17">
        <v>10.52</v>
      </c>
      <c r="F7" s="17">
        <v>10.52</v>
      </c>
    </row>
    <row r="8" spans="1:6" ht="15" customHeight="1" x14ac:dyDescent="0.25">
      <c r="A8" s="20">
        <v>33</v>
      </c>
      <c r="B8" s="9" t="s">
        <v>1300</v>
      </c>
      <c r="C8" s="35" t="s">
        <v>976</v>
      </c>
      <c r="D8" s="17">
        <f t="shared" si="0"/>
        <v>10.58</v>
      </c>
      <c r="E8" s="17">
        <v>10.58</v>
      </c>
      <c r="F8" s="17">
        <v>10.58</v>
      </c>
    </row>
    <row r="9" spans="1:6" ht="15" customHeight="1" x14ac:dyDescent="0.25">
      <c r="A9" s="16" t="s">
        <v>742</v>
      </c>
      <c r="B9" s="9" t="s">
        <v>1301</v>
      </c>
      <c r="C9" s="35" t="s">
        <v>976</v>
      </c>
      <c r="D9" s="17">
        <f t="shared" si="0"/>
        <v>10.89</v>
      </c>
      <c r="E9" s="17">
        <v>10.89</v>
      </c>
      <c r="F9" s="17">
        <v>10.89</v>
      </c>
    </row>
    <row r="10" spans="1:6" ht="15" customHeight="1" x14ac:dyDescent="0.25">
      <c r="A10" s="20">
        <v>43059</v>
      </c>
      <c r="B10" s="9" t="s">
        <v>1302</v>
      </c>
      <c r="C10" s="35" t="s">
        <v>976</v>
      </c>
      <c r="D10" s="17">
        <f t="shared" si="0"/>
        <v>9.44</v>
      </c>
      <c r="E10" s="17">
        <v>9.44</v>
      </c>
      <c r="F10" s="17">
        <v>9.44</v>
      </c>
    </row>
    <row r="11" spans="1:6" ht="15" customHeight="1" x14ac:dyDescent="0.25">
      <c r="A11" s="16" t="s">
        <v>312</v>
      </c>
      <c r="B11" s="9" t="s">
        <v>1303</v>
      </c>
      <c r="C11" s="35" t="s">
        <v>979</v>
      </c>
      <c r="D11" s="17">
        <f t="shared" si="0"/>
        <v>4.55</v>
      </c>
      <c r="E11" s="17">
        <v>4.55</v>
      </c>
      <c r="F11" s="17">
        <v>4.55</v>
      </c>
    </row>
    <row r="12" spans="1:6" ht="15" customHeight="1" x14ac:dyDescent="0.25">
      <c r="A12" s="20">
        <v>65</v>
      </c>
      <c r="B12" s="9" t="s">
        <v>1304</v>
      </c>
      <c r="C12" s="35" t="s">
        <v>979</v>
      </c>
      <c r="D12" s="17">
        <f t="shared" si="0"/>
        <v>0.97</v>
      </c>
      <c r="E12" s="17">
        <v>0.97</v>
      </c>
      <c r="F12" s="17">
        <v>0.97</v>
      </c>
    </row>
    <row r="13" spans="1:6" ht="15" customHeight="1" x14ac:dyDescent="0.25">
      <c r="A13" s="20">
        <v>95</v>
      </c>
      <c r="B13" s="9" t="s">
        <v>1305</v>
      </c>
      <c r="C13" s="35" t="s">
        <v>979</v>
      </c>
      <c r="D13" s="17">
        <f t="shared" si="0"/>
        <v>10.7</v>
      </c>
      <c r="E13" s="17">
        <v>10.7</v>
      </c>
      <c r="F13" s="17">
        <v>10.7</v>
      </c>
    </row>
    <row r="14" spans="1:6" ht="15" customHeight="1" x14ac:dyDescent="0.25">
      <c r="A14" s="20">
        <v>96</v>
      </c>
      <c r="B14" s="9" t="s">
        <v>1306</v>
      </c>
      <c r="C14" s="35" t="s">
        <v>979</v>
      </c>
      <c r="D14" s="17">
        <f t="shared" si="0"/>
        <v>12.31</v>
      </c>
      <c r="E14" s="17">
        <v>12.31</v>
      </c>
      <c r="F14" s="17">
        <v>12.31</v>
      </c>
    </row>
    <row r="15" spans="1:6" ht="15" customHeight="1" x14ac:dyDescent="0.25">
      <c r="A15" s="20">
        <v>99</v>
      </c>
      <c r="B15" s="9" t="s">
        <v>1307</v>
      </c>
      <c r="C15" s="35" t="s">
        <v>979</v>
      </c>
      <c r="D15" s="17">
        <f t="shared" si="0"/>
        <v>26.12</v>
      </c>
      <c r="E15" s="17">
        <v>26.12</v>
      </c>
      <c r="F15" s="17">
        <v>26.12</v>
      </c>
    </row>
    <row r="16" spans="1:6" ht="15" customHeight="1" x14ac:dyDescent="0.25">
      <c r="A16" s="16" t="s">
        <v>702</v>
      </c>
      <c r="B16" s="9" t="s">
        <v>1308</v>
      </c>
      <c r="C16" s="35" t="s">
        <v>976</v>
      </c>
      <c r="D16" s="17">
        <f t="shared" si="0"/>
        <v>45.16</v>
      </c>
      <c r="E16" s="17">
        <v>45.16</v>
      </c>
      <c r="F16" s="17">
        <v>45.16</v>
      </c>
    </row>
    <row r="17" spans="1:6" ht="15" customHeight="1" x14ac:dyDescent="0.25">
      <c r="A17" s="20">
        <v>122</v>
      </c>
      <c r="B17" s="9" t="s">
        <v>1309</v>
      </c>
      <c r="C17" s="35" t="s">
        <v>979</v>
      </c>
      <c r="D17" s="17">
        <f t="shared" si="0"/>
        <v>65.489999999999995</v>
      </c>
      <c r="E17" s="17">
        <v>65.489999999999995</v>
      </c>
      <c r="F17" s="17">
        <v>65.489999999999995</v>
      </c>
    </row>
    <row r="18" spans="1:6" ht="15" customHeight="1" x14ac:dyDescent="0.25">
      <c r="A18" s="16" t="s">
        <v>421</v>
      </c>
      <c r="B18" s="9" t="s">
        <v>1310</v>
      </c>
      <c r="C18" s="35" t="s">
        <v>976</v>
      </c>
      <c r="D18" s="17">
        <f t="shared" si="0"/>
        <v>85.01</v>
      </c>
      <c r="E18" s="17">
        <v>85.01</v>
      </c>
      <c r="F18" s="17">
        <v>85.01</v>
      </c>
    </row>
    <row r="19" spans="1:6" ht="15" customHeight="1" x14ac:dyDescent="0.25">
      <c r="A19" s="20">
        <v>6114</v>
      </c>
      <c r="B19" s="9" t="s">
        <v>1311</v>
      </c>
      <c r="C19" s="35" t="s">
        <v>981</v>
      </c>
      <c r="D19" s="17">
        <f t="shared" si="0"/>
        <v>10.41</v>
      </c>
      <c r="E19" s="17">
        <v>9</v>
      </c>
      <c r="F19" s="17">
        <v>10.41</v>
      </c>
    </row>
    <row r="20" spans="1:6" ht="15" customHeight="1" x14ac:dyDescent="0.25">
      <c r="A20" s="20">
        <v>247</v>
      </c>
      <c r="B20" s="9" t="s">
        <v>1312</v>
      </c>
      <c r="C20" s="35" t="s">
        <v>981</v>
      </c>
      <c r="D20" s="17">
        <f t="shared" si="0"/>
        <v>10.5</v>
      </c>
      <c r="E20" s="17">
        <v>9.07</v>
      </c>
      <c r="F20" s="17">
        <v>10.5</v>
      </c>
    </row>
    <row r="21" spans="1:6" ht="15" customHeight="1" x14ac:dyDescent="0.25">
      <c r="A21" s="16" t="s">
        <v>700</v>
      </c>
      <c r="B21" s="9" t="s">
        <v>1313</v>
      </c>
      <c r="C21" s="35" t="s">
        <v>981</v>
      </c>
      <c r="D21" s="17">
        <f t="shared" si="0"/>
        <v>18.63</v>
      </c>
      <c r="E21" s="17">
        <v>18.63</v>
      </c>
      <c r="F21" s="17">
        <v>18.63</v>
      </c>
    </row>
    <row r="22" spans="1:6" ht="15" customHeight="1" x14ac:dyDescent="0.25">
      <c r="A22" s="20">
        <v>242</v>
      </c>
      <c r="B22" s="9" t="s">
        <v>1314</v>
      </c>
      <c r="C22" s="35" t="s">
        <v>981</v>
      </c>
      <c r="D22" s="17">
        <f t="shared" si="0"/>
        <v>13.74</v>
      </c>
      <c r="E22" s="17">
        <v>11.88</v>
      </c>
      <c r="F22" s="17">
        <v>13.74</v>
      </c>
    </row>
    <row r="23" spans="1:6" ht="15" customHeight="1" x14ac:dyDescent="0.25">
      <c r="A23" s="16" t="s">
        <v>714</v>
      </c>
      <c r="B23" s="9" t="s">
        <v>1315</v>
      </c>
      <c r="C23" s="35" t="s">
        <v>979</v>
      </c>
      <c r="D23" s="17">
        <f t="shared" si="0"/>
        <v>43.9</v>
      </c>
      <c r="E23" s="17">
        <v>43.9</v>
      </c>
      <c r="F23" s="17">
        <v>43.9</v>
      </c>
    </row>
    <row r="24" spans="1:6" ht="15" customHeight="1" x14ac:dyDescent="0.25">
      <c r="A24" s="16" t="s">
        <v>559</v>
      </c>
      <c r="B24" s="9" t="s">
        <v>1316</v>
      </c>
      <c r="C24" s="35" t="s">
        <v>981</v>
      </c>
      <c r="D24" s="17">
        <f t="shared" si="0"/>
        <v>2.33</v>
      </c>
      <c r="E24" s="17">
        <v>2.33</v>
      </c>
      <c r="F24" s="17">
        <v>2.33</v>
      </c>
    </row>
    <row r="25" spans="1:6" ht="15" customHeight="1" x14ac:dyDescent="0.25">
      <c r="A25" s="16" t="s">
        <v>715</v>
      </c>
      <c r="B25" s="9" t="s">
        <v>1317</v>
      </c>
      <c r="C25" s="35" t="s">
        <v>979</v>
      </c>
      <c r="D25" s="17">
        <f t="shared" si="0"/>
        <v>135.30000000000001</v>
      </c>
      <c r="E25" s="17">
        <v>135.30000000000001</v>
      </c>
      <c r="F25" s="17">
        <v>135.30000000000001</v>
      </c>
    </row>
    <row r="26" spans="1:6" ht="15" customHeight="1" x14ac:dyDescent="0.25">
      <c r="A26" s="20">
        <v>37370</v>
      </c>
      <c r="B26" s="9" t="s">
        <v>1318</v>
      </c>
      <c r="C26" s="35" t="s">
        <v>981</v>
      </c>
      <c r="D26" s="17">
        <f t="shared" si="0"/>
        <v>1.86</v>
      </c>
      <c r="E26" s="17">
        <v>1.86</v>
      </c>
      <c r="F26" s="17">
        <v>1.86</v>
      </c>
    </row>
    <row r="27" spans="1:6" ht="15" customHeight="1" x14ac:dyDescent="0.25">
      <c r="A27" s="16" t="s">
        <v>519</v>
      </c>
      <c r="B27" s="9" t="s">
        <v>1319</v>
      </c>
      <c r="C27" s="35" t="s">
        <v>979</v>
      </c>
      <c r="D27" s="17">
        <f t="shared" si="0"/>
        <v>10</v>
      </c>
      <c r="E27" s="17">
        <v>10</v>
      </c>
      <c r="F27" s="17">
        <v>10</v>
      </c>
    </row>
    <row r="28" spans="1:6" ht="15" customHeight="1" x14ac:dyDescent="0.25">
      <c r="A28" s="20">
        <v>301</v>
      </c>
      <c r="B28" s="9" t="s">
        <v>1320</v>
      </c>
      <c r="C28" s="35" t="s">
        <v>979</v>
      </c>
      <c r="D28" s="17">
        <f t="shared" si="0"/>
        <v>3.46</v>
      </c>
      <c r="E28" s="17">
        <v>3.46</v>
      </c>
      <c r="F28" s="17">
        <v>3.46</v>
      </c>
    </row>
    <row r="29" spans="1:6" ht="15" customHeight="1" x14ac:dyDescent="0.25">
      <c r="A29" s="16" t="s">
        <v>442</v>
      </c>
      <c r="B29" s="9" t="s">
        <v>1321</v>
      </c>
      <c r="C29" s="35" t="s">
        <v>979</v>
      </c>
      <c r="D29" s="17">
        <f t="shared" si="0"/>
        <v>152.08000000000001</v>
      </c>
      <c r="E29" s="17">
        <v>152.08000000000001</v>
      </c>
      <c r="F29" s="17">
        <v>152.08000000000001</v>
      </c>
    </row>
    <row r="30" spans="1:6" ht="15" customHeight="1" x14ac:dyDescent="0.25">
      <c r="A30" s="20">
        <v>43130</v>
      </c>
      <c r="B30" s="9" t="s">
        <v>1322</v>
      </c>
      <c r="C30" s="35" t="s">
        <v>976</v>
      </c>
      <c r="D30" s="17">
        <f t="shared" si="0"/>
        <v>22.75</v>
      </c>
      <c r="E30" s="17">
        <v>22.75</v>
      </c>
      <c r="F30" s="17">
        <v>22.75</v>
      </c>
    </row>
    <row r="31" spans="1:6" ht="15" customHeight="1" x14ac:dyDescent="0.25">
      <c r="A31" s="20">
        <v>43131</v>
      </c>
      <c r="B31" s="9" t="s">
        <v>1323</v>
      </c>
      <c r="C31" s="35" t="s">
        <v>976</v>
      </c>
      <c r="D31" s="17">
        <f t="shared" si="0"/>
        <v>26.43</v>
      </c>
      <c r="E31" s="17">
        <v>26.43</v>
      </c>
      <c r="F31" s="17">
        <v>26.43</v>
      </c>
    </row>
    <row r="32" spans="1:6" ht="15" customHeight="1" x14ac:dyDescent="0.25">
      <c r="A32" s="20">
        <v>43132</v>
      </c>
      <c r="B32" s="9" t="s">
        <v>1324</v>
      </c>
      <c r="C32" s="35" t="s">
        <v>976</v>
      </c>
      <c r="D32" s="17">
        <f t="shared" si="0"/>
        <v>22.75</v>
      </c>
      <c r="E32" s="17">
        <v>22.75</v>
      </c>
      <c r="F32" s="17">
        <v>22.75</v>
      </c>
    </row>
    <row r="33" spans="1:6" ht="15" customHeight="1" x14ac:dyDescent="0.25">
      <c r="A33" s="16" t="s">
        <v>809</v>
      </c>
      <c r="B33" s="9" t="s">
        <v>1325</v>
      </c>
      <c r="C33" s="35" t="s">
        <v>979</v>
      </c>
      <c r="D33" s="17">
        <f t="shared" si="0"/>
        <v>21.25</v>
      </c>
      <c r="E33" s="17">
        <v>21.25</v>
      </c>
      <c r="F33" s="17">
        <v>21.25</v>
      </c>
    </row>
    <row r="34" spans="1:6" ht="15" customHeight="1" x14ac:dyDescent="0.25">
      <c r="A34" s="16" t="s">
        <v>707</v>
      </c>
      <c r="B34" s="9" t="s">
        <v>1326</v>
      </c>
      <c r="C34" s="35" t="s">
        <v>974</v>
      </c>
      <c r="D34" s="17">
        <f t="shared" si="0"/>
        <v>74.72</v>
      </c>
      <c r="E34" s="17">
        <v>74.72</v>
      </c>
      <c r="F34" s="17">
        <v>74.72</v>
      </c>
    </row>
    <row r="35" spans="1:6" ht="15" customHeight="1" x14ac:dyDescent="0.25">
      <c r="A35" s="20">
        <v>367</v>
      </c>
      <c r="B35" s="9" t="s">
        <v>1327</v>
      </c>
      <c r="C35" s="35" t="s">
        <v>974</v>
      </c>
      <c r="D35" s="17">
        <f t="shared" si="0"/>
        <v>53.34</v>
      </c>
      <c r="E35" s="17">
        <v>53.34</v>
      </c>
      <c r="F35" s="17">
        <v>53.34</v>
      </c>
    </row>
    <row r="36" spans="1:6" ht="15" customHeight="1" x14ac:dyDescent="0.25">
      <c r="A36" s="16" t="s">
        <v>356</v>
      </c>
      <c r="B36" s="9" t="s">
        <v>1328</v>
      </c>
      <c r="C36" s="35" t="s">
        <v>974</v>
      </c>
      <c r="D36" s="17">
        <f t="shared" si="0"/>
        <v>67.5</v>
      </c>
      <c r="E36" s="17">
        <v>67.5</v>
      </c>
      <c r="F36" s="17">
        <v>67.5</v>
      </c>
    </row>
    <row r="37" spans="1:6" ht="15" customHeight="1" x14ac:dyDescent="0.25">
      <c r="A37" s="20">
        <v>370</v>
      </c>
      <c r="B37" s="9" t="s">
        <v>1329</v>
      </c>
      <c r="C37" s="35" t="s">
        <v>974</v>
      </c>
      <c r="D37" s="17">
        <f t="shared" si="0"/>
        <v>54</v>
      </c>
      <c r="E37" s="17">
        <v>54</v>
      </c>
      <c r="F37" s="17">
        <v>54</v>
      </c>
    </row>
    <row r="38" spans="1:6" ht="15" customHeight="1" x14ac:dyDescent="0.25">
      <c r="A38" s="20">
        <v>1381</v>
      </c>
      <c r="B38" s="9" t="s">
        <v>1330</v>
      </c>
      <c r="C38" s="35" t="s">
        <v>976</v>
      </c>
      <c r="D38" s="17">
        <f t="shared" si="0"/>
        <v>0.56999999999999995</v>
      </c>
      <c r="E38" s="17">
        <v>0.56999999999999995</v>
      </c>
      <c r="F38" s="17">
        <v>0.56999999999999995</v>
      </c>
    </row>
    <row r="39" spans="1:6" ht="15" customHeight="1" x14ac:dyDescent="0.25">
      <c r="A39" s="20">
        <v>37595</v>
      </c>
      <c r="B39" s="9" t="s">
        <v>1331</v>
      </c>
      <c r="C39" s="35" t="s">
        <v>976</v>
      </c>
      <c r="D39" s="17">
        <f t="shared" si="0"/>
        <v>1.75</v>
      </c>
      <c r="E39" s="17">
        <v>1.75</v>
      </c>
      <c r="F39" s="17">
        <v>1.75</v>
      </c>
    </row>
    <row r="40" spans="1:6" ht="15" customHeight="1" x14ac:dyDescent="0.25">
      <c r="A40" s="20">
        <v>6079</v>
      </c>
      <c r="B40" s="9" t="s">
        <v>1332</v>
      </c>
      <c r="C40" s="35" t="s">
        <v>974</v>
      </c>
      <c r="D40" s="17">
        <f t="shared" si="0"/>
        <v>10.4</v>
      </c>
      <c r="E40" s="17">
        <v>10.4</v>
      </c>
      <c r="F40" s="17">
        <v>10.4</v>
      </c>
    </row>
    <row r="41" spans="1:6" ht="15" customHeight="1" x14ac:dyDescent="0.25">
      <c r="A41" s="20">
        <v>378</v>
      </c>
      <c r="B41" s="9" t="s">
        <v>1333</v>
      </c>
      <c r="C41" s="35" t="s">
        <v>981</v>
      </c>
      <c r="D41" s="17">
        <f t="shared" si="0"/>
        <v>14.93</v>
      </c>
      <c r="E41" s="17">
        <v>12.9</v>
      </c>
      <c r="F41" s="17">
        <v>14.93</v>
      </c>
    </row>
    <row r="42" spans="1:6" ht="15" customHeight="1" x14ac:dyDescent="0.25">
      <c r="A42" s="16" t="s">
        <v>541</v>
      </c>
      <c r="B42" s="9" t="s">
        <v>1334</v>
      </c>
      <c r="C42" s="35" t="s">
        <v>979</v>
      </c>
      <c r="D42" s="17">
        <f t="shared" si="0"/>
        <v>0.5</v>
      </c>
      <c r="E42" s="17">
        <v>0.5</v>
      </c>
      <c r="F42" s="17">
        <v>0.5</v>
      </c>
    </row>
    <row r="43" spans="1:6" ht="15" customHeight="1" x14ac:dyDescent="0.25">
      <c r="A43" s="20">
        <v>246</v>
      </c>
      <c r="B43" s="9" t="s">
        <v>1335</v>
      </c>
      <c r="C43" s="35" t="s">
        <v>981</v>
      </c>
      <c r="D43" s="17">
        <f t="shared" si="0"/>
        <v>10.58</v>
      </c>
      <c r="E43" s="17">
        <v>9.15</v>
      </c>
      <c r="F43" s="17">
        <v>10.58</v>
      </c>
    </row>
    <row r="44" spans="1:6" ht="15" customHeight="1" x14ac:dyDescent="0.25">
      <c r="A44" s="20">
        <v>4760</v>
      </c>
      <c r="B44" s="9" t="s">
        <v>1336</v>
      </c>
      <c r="C44" s="35" t="s">
        <v>981</v>
      </c>
      <c r="D44" s="17">
        <f t="shared" si="0"/>
        <v>18.37</v>
      </c>
      <c r="E44" s="17">
        <v>15.87</v>
      </c>
      <c r="F44" s="17">
        <v>18.37</v>
      </c>
    </row>
    <row r="45" spans="1:6" ht="15" customHeight="1" x14ac:dyDescent="0.25">
      <c r="A45" s="20">
        <v>10422</v>
      </c>
      <c r="B45" s="9" t="s">
        <v>1337</v>
      </c>
      <c r="C45" s="35" t="s">
        <v>979</v>
      </c>
      <c r="D45" s="17">
        <f t="shared" si="0"/>
        <v>375.31</v>
      </c>
      <c r="E45" s="17">
        <v>375.31</v>
      </c>
      <c r="F45" s="17">
        <v>375.31</v>
      </c>
    </row>
    <row r="46" spans="1:6" ht="15" customHeight="1" x14ac:dyDescent="0.25">
      <c r="A46" s="20">
        <v>10535</v>
      </c>
      <c r="B46" s="9" t="s">
        <v>1338</v>
      </c>
      <c r="C46" s="35" t="s">
        <v>979</v>
      </c>
      <c r="D46" s="17">
        <f t="shared" si="0"/>
        <v>5800</v>
      </c>
      <c r="E46" s="17">
        <v>5800</v>
      </c>
      <c r="F46" s="17">
        <v>5800</v>
      </c>
    </row>
    <row r="47" spans="1:6" ht="15" customHeight="1" x14ac:dyDescent="0.25">
      <c r="A47" s="20">
        <v>36397</v>
      </c>
      <c r="B47" s="9" t="s">
        <v>1339</v>
      </c>
      <c r="C47" s="35" t="s">
        <v>979</v>
      </c>
      <c r="D47" s="17">
        <f t="shared" si="0"/>
        <v>23593.22</v>
      </c>
      <c r="E47" s="17">
        <v>23593.22</v>
      </c>
      <c r="F47" s="17">
        <v>23593.22</v>
      </c>
    </row>
    <row r="48" spans="1:6" ht="15" customHeight="1" x14ac:dyDescent="0.25">
      <c r="A48" s="20">
        <v>7267</v>
      </c>
      <c r="B48" s="9" t="s">
        <v>1340</v>
      </c>
      <c r="C48" s="35" t="s">
        <v>979</v>
      </c>
      <c r="D48" s="17">
        <f t="shared" si="0"/>
        <v>0.68</v>
      </c>
      <c r="E48" s="17">
        <v>0.68</v>
      </c>
      <c r="F48" s="17">
        <v>0.68</v>
      </c>
    </row>
    <row r="49" spans="1:6" ht="15" customHeight="1" x14ac:dyDescent="0.25">
      <c r="A49" s="20">
        <v>12893</v>
      </c>
      <c r="B49" s="9" t="s">
        <v>1341</v>
      </c>
      <c r="C49" s="35" t="s">
        <v>1342</v>
      </c>
      <c r="D49" s="17">
        <f t="shared" si="0"/>
        <v>68.88</v>
      </c>
      <c r="E49" s="17">
        <v>68.88</v>
      </c>
      <c r="F49" s="17">
        <v>68.88</v>
      </c>
    </row>
    <row r="50" spans="1:6" ht="15" customHeight="1" x14ac:dyDescent="0.25">
      <c r="A50" s="20">
        <v>11680</v>
      </c>
      <c r="B50" s="9" t="s">
        <v>1343</v>
      </c>
      <c r="C50" s="35" t="s">
        <v>979</v>
      </c>
      <c r="D50" s="17">
        <f t="shared" si="0"/>
        <v>4.74</v>
      </c>
      <c r="E50" s="17">
        <v>4.74</v>
      </c>
      <c r="F50" s="17">
        <v>4.74</v>
      </c>
    </row>
    <row r="51" spans="1:6" ht="15" customHeight="1" x14ac:dyDescent="0.25">
      <c r="A51" s="16" t="s">
        <v>561</v>
      </c>
      <c r="B51" s="9" t="s">
        <v>1344</v>
      </c>
      <c r="C51" s="35" t="s">
        <v>979</v>
      </c>
      <c r="D51" s="17">
        <f t="shared" si="0"/>
        <v>7.47</v>
      </c>
      <c r="E51" s="17">
        <v>7.47</v>
      </c>
      <c r="F51" s="17">
        <v>7.47</v>
      </c>
    </row>
    <row r="52" spans="1:6" ht="15" customHeight="1" x14ac:dyDescent="0.25">
      <c r="A52" s="16" t="s">
        <v>709</v>
      </c>
      <c r="B52" s="9" t="s">
        <v>1345</v>
      </c>
      <c r="C52" s="35" t="s">
        <v>974</v>
      </c>
      <c r="D52" s="17">
        <f t="shared" si="0"/>
        <v>76.19</v>
      </c>
      <c r="E52" s="17">
        <v>76.19</v>
      </c>
      <c r="F52" s="17">
        <v>76.19</v>
      </c>
    </row>
    <row r="53" spans="1:6" ht="15" customHeight="1" x14ac:dyDescent="0.25">
      <c r="A53" s="20">
        <v>7568</v>
      </c>
      <c r="B53" s="9" t="s">
        <v>1346</v>
      </c>
      <c r="C53" s="35" t="s">
        <v>979</v>
      </c>
      <c r="D53" s="17">
        <f t="shared" si="0"/>
        <v>0.43</v>
      </c>
      <c r="E53" s="17">
        <v>0.43</v>
      </c>
      <c r="F53" s="17">
        <v>0.43</v>
      </c>
    </row>
    <row r="54" spans="1:6" ht="15" customHeight="1" x14ac:dyDescent="0.25">
      <c r="A54" s="20">
        <v>4350</v>
      </c>
      <c r="B54" s="9" t="s">
        <v>1347</v>
      </c>
      <c r="C54" s="35" t="s">
        <v>979</v>
      </c>
      <c r="D54" s="17">
        <f t="shared" si="0"/>
        <v>0.38</v>
      </c>
      <c r="E54" s="17">
        <v>0.38</v>
      </c>
      <c r="F54" s="17">
        <v>0.38</v>
      </c>
    </row>
    <row r="55" spans="1:6" ht="15" customHeight="1" x14ac:dyDescent="0.25">
      <c r="A55" s="20">
        <v>39175</v>
      </c>
      <c r="B55" s="9" t="s">
        <v>1348</v>
      </c>
      <c r="C55" s="35" t="s">
        <v>979</v>
      </c>
      <c r="D55" s="17">
        <f t="shared" si="0"/>
        <v>1.08</v>
      </c>
      <c r="E55" s="17">
        <v>1.08</v>
      </c>
      <c r="F55" s="17">
        <v>1.08</v>
      </c>
    </row>
    <row r="56" spans="1:6" ht="15" customHeight="1" x14ac:dyDescent="0.25">
      <c r="A56" s="16" t="s">
        <v>554</v>
      </c>
      <c r="B56" s="9" t="s">
        <v>1349</v>
      </c>
      <c r="C56" s="35" t="s">
        <v>970</v>
      </c>
      <c r="D56" s="17">
        <f t="shared" si="0"/>
        <v>6.7</v>
      </c>
      <c r="E56" s="17">
        <v>6.7</v>
      </c>
      <c r="F56" s="17">
        <v>6.7</v>
      </c>
    </row>
    <row r="57" spans="1:6" ht="15" customHeight="1" x14ac:dyDescent="0.25">
      <c r="A57" s="16" t="s">
        <v>567</v>
      </c>
      <c r="B57" s="9" t="s">
        <v>1350</v>
      </c>
      <c r="C57" s="35" t="s">
        <v>976</v>
      </c>
      <c r="D57" s="17">
        <f t="shared" si="0"/>
        <v>107.33</v>
      </c>
      <c r="E57" s="17">
        <v>107.33</v>
      </c>
      <c r="F57" s="17">
        <v>107.33</v>
      </c>
    </row>
    <row r="58" spans="1:6" ht="15" customHeight="1" x14ac:dyDescent="0.25">
      <c r="A58" s="20">
        <v>981</v>
      </c>
      <c r="B58" s="9" t="s">
        <v>1351</v>
      </c>
      <c r="C58" s="35" t="s">
        <v>970</v>
      </c>
      <c r="D58" s="17">
        <f t="shared" si="0"/>
        <v>4.12</v>
      </c>
      <c r="E58" s="17">
        <v>4.12</v>
      </c>
      <c r="F58" s="17">
        <v>4.12</v>
      </c>
    </row>
    <row r="59" spans="1:6" ht="15" customHeight="1" x14ac:dyDescent="0.25">
      <c r="A59" s="20">
        <v>1022</v>
      </c>
      <c r="B59" s="9" t="s">
        <v>1352</v>
      </c>
      <c r="C59" s="35" t="s">
        <v>970</v>
      </c>
      <c r="D59" s="17">
        <f t="shared" si="0"/>
        <v>3.42</v>
      </c>
      <c r="E59" s="17">
        <v>3.42</v>
      </c>
      <c r="F59" s="17">
        <v>3.42</v>
      </c>
    </row>
    <row r="60" spans="1:6" ht="15" customHeight="1" x14ac:dyDescent="0.25">
      <c r="A60" s="20">
        <v>994</v>
      </c>
      <c r="B60" s="9" t="s">
        <v>1353</v>
      </c>
      <c r="C60" s="35" t="s">
        <v>970</v>
      </c>
      <c r="D60" s="17">
        <f t="shared" si="0"/>
        <v>6.7</v>
      </c>
      <c r="E60" s="17">
        <v>6.7</v>
      </c>
      <c r="F60" s="17">
        <v>6.7</v>
      </c>
    </row>
    <row r="61" spans="1:6" ht="15" customHeight="1" x14ac:dyDescent="0.25">
      <c r="A61" s="20">
        <v>4430</v>
      </c>
      <c r="B61" s="9" t="s">
        <v>1354</v>
      </c>
      <c r="C61" s="35" t="s">
        <v>970</v>
      </c>
      <c r="D61" s="17">
        <f t="shared" si="0"/>
        <v>9.5</v>
      </c>
      <c r="E61" s="17">
        <v>9.5</v>
      </c>
      <c r="F61" s="17">
        <v>9.5</v>
      </c>
    </row>
    <row r="62" spans="1:6" ht="15" customHeight="1" x14ac:dyDescent="0.25">
      <c r="A62" s="20">
        <v>4400</v>
      </c>
      <c r="B62" s="9" t="s">
        <v>1355</v>
      </c>
      <c r="C62" s="35" t="s">
        <v>970</v>
      </c>
      <c r="D62" s="17">
        <f t="shared" si="0"/>
        <v>15.12</v>
      </c>
      <c r="E62" s="17">
        <v>15.12</v>
      </c>
      <c r="F62" s="17">
        <v>15.12</v>
      </c>
    </row>
    <row r="63" spans="1:6" ht="15" customHeight="1" x14ac:dyDescent="0.25">
      <c r="A63" s="16" t="s">
        <v>417</v>
      </c>
      <c r="B63" s="9" t="s">
        <v>1356</v>
      </c>
      <c r="C63" s="35" t="s">
        <v>979</v>
      </c>
      <c r="D63" s="17">
        <f t="shared" si="0"/>
        <v>212.17</v>
      </c>
      <c r="E63" s="17">
        <v>212.17</v>
      </c>
      <c r="F63" s="17">
        <v>212.17</v>
      </c>
    </row>
    <row r="64" spans="1:6" ht="15" customHeight="1" x14ac:dyDescent="0.25">
      <c r="A64" s="16" t="s">
        <v>542</v>
      </c>
      <c r="B64" s="9" t="s">
        <v>1357</v>
      </c>
      <c r="C64" s="35" t="s">
        <v>979</v>
      </c>
      <c r="D64" s="17">
        <f t="shared" si="0"/>
        <v>54.9</v>
      </c>
      <c r="E64" s="17">
        <v>54.9</v>
      </c>
      <c r="F64" s="17">
        <v>54.9</v>
      </c>
    </row>
    <row r="65" spans="1:6" ht="15" customHeight="1" x14ac:dyDescent="0.25">
      <c r="A65" s="16" t="s">
        <v>514</v>
      </c>
      <c r="B65" s="9" t="s">
        <v>1358</v>
      </c>
      <c r="C65" s="35" t="s">
        <v>979</v>
      </c>
      <c r="D65" s="17">
        <f t="shared" si="0"/>
        <v>94.49</v>
      </c>
      <c r="E65" s="17">
        <v>94.49</v>
      </c>
      <c r="F65" s="17">
        <v>94.49</v>
      </c>
    </row>
    <row r="66" spans="1:6" ht="15" customHeight="1" x14ac:dyDescent="0.25">
      <c r="A66" s="20">
        <v>1106</v>
      </c>
      <c r="B66" s="9" t="s">
        <v>1359</v>
      </c>
      <c r="C66" s="35" t="s">
        <v>976</v>
      </c>
      <c r="D66" s="17">
        <f t="shared" ref="D66:D129" si="1">IF(ONERA="COM DESONERAÇÃO",E66,F66)</f>
        <v>1.02</v>
      </c>
      <c r="E66" s="17">
        <v>1.02</v>
      </c>
      <c r="F66" s="17">
        <v>1.02</v>
      </c>
    </row>
    <row r="67" spans="1:6" ht="15" customHeight="1" x14ac:dyDescent="0.25">
      <c r="A67" s="20">
        <v>37747</v>
      </c>
      <c r="B67" s="9" t="s">
        <v>1360</v>
      </c>
      <c r="C67" s="35" t="s">
        <v>979</v>
      </c>
      <c r="D67" s="17">
        <f t="shared" si="1"/>
        <v>396848.38</v>
      </c>
      <c r="E67" s="17">
        <v>396848.38</v>
      </c>
      <c r="F67" s="17">
        <v>396848.38</v>
      </c>
    </row>
    <row r="68" spans="1:6" ht="15" customHeight="1" x14ac:dyDescent="0.25">
      <c r="A68" s="20">
        <v>12894</v>
      </c>
      <c r="B68" s="9" t="s">
        <v>1361</v>
      </c>
      <c r="C68" s="35" t="s">
        <v>979</v>
      </c>
      <c r="D68" s="17">
        <f t="shared" si="1"/>
        <v>18.649999999999999</v>
      </c>
      <c r="E68" s="17">
        <v>18.649999999999999</v>
      </c>
      <c r="F68" s="17">
        <v>18.649999999999999</v>
      </c>
    </row>
    <row r="69" spans="1:6" ht="15" customHeight="1" x14ac:dyDescent="0.25">
      <c r="A69" s="20">
        <v>12895</v>
      </c>
      <c r="B69" s="9" t="s">
        <v>1362</v>
      </c>
      <c r="C69" s="35" t="s">
        <v>979</v>
      </c>
      <c r="D69" s="17">
        <f t="shared" si="1"/>
        <v>14.35</v>
      </c>
      <c r="E69" s="17">
        <v>14.35</v>
      </c>
      <c r="F69" s="17">
        <v>14.35</v>
      </c>
    </row>
    <row r="70" spans="1:6" ht="15" customHeight="1" x14ac:dyDescent="0.25">
      <c r="A70" s="20">
        <v>6117</v>
      </c>
      <c r="B70" s="9" t="s">
        <v>1363</v>
      </c>
      <c r="C70" s="35" t="s">
        <v>981</v>
      </c>
      <c r="D70" s="17">
        <f t="shared" si="1"/>
        <v>11.75</v>
      </c>
      <c r="E70" s="17">
        <v>10.15</v>
      </c>
      <c r="F70" s="17">
        <v>11.75</v>
      </c>
    </row>
    <row r="71" spans="1:6" ht="15" customHeight="1" x14ac:dyDescent="0.25">
      <c r="A71" s="20">
        <v>1213</v>
      </c>
      <c r="B71" s="9" t="s">
        <v>1364</v>
      </c>
      <c r="C71" s="35" t="s">
        <v>981</v>
      </c>
      <c r="D71" s="17">
        <f t="shared" si="1"/>
        <v>14.93</v>
      </c>
      <c r="E71" s="17">
        <v>12.9</v>
      </c>
      <c r="F71" s="17">
        <v>14.93</v>
      </c>
    </row>
    <row r="72" spans="1:6" ht="15" customHeight="1" x14ac:dyDescent="0.25">
      <c r="A72" s="20">
        <v>2711</v>
      </c>
      <c r="B72" s="9" t="s">
        <v>1365</v>
      </c>
      <c r="C72" s="35" t="s">
        <v>979</v>
      </c>
      <c r="D72" s="17">
        <f t="shared" si="1"/>
        <v>127.67</v>
      </c>
      <c r="E72" s="17">
        <v>127.67</v>
      </c>
      <c r="F72" s="17">
        <v>127.67</v>
      </c>
    </row>
    <row r="73" spans="1:6" ht="15" customHeight="1" x14ac:dyDescent="0.25">
      <c r="A73" s="16" t="s">
        <v>526</v>
      </c>
      <c r="B73" s="9" t="s">
        <v>1366</v>
      </c>
      <c r="C73" s="35" t="s">
        <v>979</v>
      </c>
      <c r="D73" s="17">
        <f t="shared" si="1"/>
        <v>140</v>
      </c>
      <c r="E73" s="17">
        <v>140</v>
      </c>
      <c r="F73" s="17">
        <v>140</v>
      </c>
    </row>
    <row r="74" spans="1:6" ht="15" customHeight="1" x14ac:dyDescent="0.25">
      <c r="A74" s="20">
        <v>1347</v>
      </c>
      <c r="B74" s="9" t="s">
        <v>1367</v>
      </c>
      <c r="C74" s="35" t="s">
        <v>219</v>
      </c>
      <c r="D74" s="17">
        <f t="shared" si="1"/>
        <v>48.76</v>
      </c>
      <c r="E74" s="17">
        <v>48.76</v>
      </c>
      <c r="F74" s="17">
        <v>48.76</v>
      </c>
    </row>
    <row r="75" spans="1:6" ht="15" customHeight="1" x14ac:dyDescent="0.25">
      <c r="A75" s="20">
        <v>1345</v>
      </c>
      <c r="B75" s="9" t="s">
        <v>1368</v>
      </c>
      <c r="C75" s="35" t="s">
        <v>219</v>
      </c>
      <c r="D75" s="17">
        <f t="shared" si="1"/>
        <v>66.12</v>
      </c>
      <c r="E75" s="17">
        <v>66.12</v>
      </c>
      <c r="F75" s="17">
        <v>66.12</v>
      </c>
    </row>
    <row r="76" spans="1:6" ht="15" customHeight="1" x14ac:dyDescent="0.25">
      <c r="A76" s="20">
        <v>1358</v>
      </c>
      <c r="B76" s="9" t="s">
        <v>1369</v>
      </c>
      <c r="C76" s="35" t="s">
        <v>219</v>
      </c>
      <c r="D76" s="17">
        <f t="shared" si="1"/>
        <v>33.96</v>
      </c>
      <c r="E76" s="17">
        <v>33.96</v>
      </c>
      <c r="F76" s="17">
        <v>33.96</v>
      </c>
    </row>
    <row r="77" spans="1:6" ht="15" customHeight="1" x14ac:dyDescent="0.25">
      <c r="A77" s="20">
        <v>40623</v>
      </c>
      <c r="B77" s="9" t="s">
        <v>1370</v>
      </c>
      <c r="C77" s="35" t="s">
        <v>1342</v>
      </c>
      <c r="D77" s="17">
        <f t="shared" si="1"/>
        <v>105.77</v>
      </c>
      <c r="E77" s="17">
        <v>105.77</v>
      </c>
      <c r="F77" s="17">
        <v>105.77</v>
      </c>
    </row>
    <row r="78" spans="1:6" ht="15" customHeight="1" x14ac:dyDescent="0.25">
      <c r="A78" s="16" t="s">
        <v>713</v>
      </c>
      <c r="B78" s="9" t="s">
        <v>1371</v>
      </c>
      <c r="C78" s="35" t="s">
        <v>979</v>
      </c>
      <c r="D78" s="17">
        <f t="shared" si="1"/>
        <v>22.89</v>
      </c>
      <c r="E78" s="17">
        <v>22.89</v>
      </c>
      <c r="F78" s="17">
        <v>22.89</v>
      </c>
    </row>
    <row r="79" spans="1:6" ht="15" customHeight="1" x14ac:dyDescent="0.25">
      <c r="A79" s="16" t="s">
        <v>716</v>
      </c>
      <c r="B79" s="9" t="s">
        <v>1372</v>
      </c>
      <c r="C79" s="35" t="s">
        <v>979</v>
      </c>
      <c r="D79" s="17">
        <f t="shared" si="1"/>
        <v>47</v>
      </c>
      <c r="E79" s="17">
        <v>47</v>
      </c>
      <c r="F79" s="17">
        <v>47</v>
      </c>
    </row>
    <row r="80" spans="1:6" ht="15" customHeight="1" x14ac:dyDescent="0.25">
      <c r="A80" s="20">
        <v>7608</v>
      </c>
      <c r="B80" s="9" t="s">
        <v>1373</v>
      </c>
      <c r="C80" s="35" t="s">
        <v>979</v>
      </c>
      <c r="D80" s="17">
        <f t="shared" si="1"/>
        <v>4.07</v>
      </c>
      <c r="E80" s="17">
        <v>4.07</v>
      </c>
      <c r="F80" s="17">
        <v>4.07</v>
      </c>
    </row>
    <row r="81" spans="1:6" ht="15" customHeight="1" x14ac:dyDescent="0.25">
      <c r="A81" s="16" t="s">
        <v>357</v>
      </c>
      <c r="B81" s="9" t="s">
        <v>1374</v>
      </c>
      <c r="C81" s="35" t="s">
        <v>976</v>
      </c>
      <c r="D81" s="17">
        <f t="shared" si="1"/>
        <v>0.56000000000000005</v>
      </c>
      <c r="E81" s="17">
        <v>0.56000000000000005</v>
      </c>
      <c r="F81" s="17">
        <v>0.56000000000000005</v>
      </c>
    </row>
    <row r="82" spans="1:6" ht="15" customHeight="1" x14ac:dyDescent="0.25">
      <c r="A82" s="20">
        <v>1379</v>
      </c>
      <c r="B82" s="9" t="s">
        <v>1375</v>
      </c>
      <c r="C82" s="35" t="s">
        <v>976</v>
      </c>
      <c r="D82" s="17">
        <f t="shared" si="1"/>
        <v>0.7</v>
      </c>
      <c r="E82" s="17">
        <v>0.7</v>
      </c>
      <c r="F82" s="17">
        <v>0.7</v>
      </c>
    </row>
    <row r="83" spans="1:6" ht="15" customHeight="1" x14ac:dyDescent="0.25">
      <c r="A83" s="16" t="s">
        <v>313</v>
      </c>
      <c r="B83" s="9" t="s">
        <v>1376</v>
      </c>
      <c r="C83" s="35" t="s">
        <v>979</v>
      </c>
      <c r="D83" s="17">
        <v>11.63</v>
      </c>
      <c r="E83" s="17">
        <v>11.63</v>
      </c>
      <c r="F83" s="17">
        <v>11.63</v>
      </c>
    </row>
    <row r="84" spans="1:6" ht="15" customHeight="1" x14ac:dyDescent="0.25">
      <c r="A84" s="16" t="s">
        <v>618</v>
      </c>
      <c r="B84" s="9" t="s">
        <v>1377</v>
      </c>
      <c r="C84" s="35" t="s">
        <v>979</v>
      </c>
      <c r="D84" s="17">
        <f t="shared" si="1"/>
        <v>16.79</v>
      </c>
      <c r="E84" s="17">
        <v>16.79</v>
      </c>
      <c r="F84" s="17">
        <v>16.79</v>
      </c>
    </row>
    <row r="85" spans="1:6" ht="15" customHeight="1" x14ac:dyDescent="0.25">
      <c r="A85" s="20">
        <v>13458</v>
      </c>
      <c r="B85" s="9" t="s">
        <v>1378</v>
      </c>
      <c r="C85" s="35" t="s">
        <v>979</v>
      </c>
      <c r="D85" s="17">
        <f t="shared" si="1"/>
        <v>12639.13</v>
      </c>
      <c r="E85" s="17">
        <v>12639.13</v>
      </c>
      <c r="F85" s="17">
        <v>12639.13</v>
      </c>
    </row>
    <row r="86" spans="1:6" ht="15" customHeight="1" x14ac:dyDescent="0.25">
      <c r="A86" s="16" t="s">
        <v>664</v>
      </c>
      <c r="B86" s="9" t="s">
        <v>1379</v>
      </c>
      <c r="C86" s="35" t="s">
        <v>219</v>
      </c>
      <c r="D86" s="17">
        <v>46.9</v>
      </c>
      <c r="E86" s="17">
        <v>46.9</v>
      </c>
      <c r="F86" s="17">
        <v>46.9</v>
      </c>
    </row>
    <row r="87" spans="1:6" ht="15" customHeight="1" x14ac:dyDescent="0.25">
      <c r="A87" s="20">
        <v>34492</v>
      </c>
      <c r="B87" s="9" t="s">
        <v>1380</v>
      </c>
      <c r="C87" s="35" t="s">
        <v>974</v>
      </c>
      <c r="D87" s="17">
        <f t="shared" si="1"/>
        <v>370</v>
      </c>
      <c r="E87" s="17">
        <v>370</v>
      </c>
      <c r="F87" s="17">
        <v>370</v>
      </c>
    </row>
    <row r="88" spans="1:6" ht="15" customHeight="1" x14ac:dyDescent="0.25">
      <c r="A88" s="20">
        <v>1527</v>
      </c>
      <c r="B88" s="9" t="s">
        <v>1381</v>
      </c>
      <c r="C88" s="35" t="s">
        <v>974</v>
      </c>
      <c r="D88" s="17">
        <f t="shared" si="1"/>
        <v>412.13</v>
      </c>
      <c r="E88" s="17">
        <v>412.13</v>
      </c>
      <c r="F88" s="17">
        <v>412.13</v>
      </c>
    </row>
    <row r="89" spans="1:6" ht="15" customHeight="1" x14ac:dyDescent="0.25">
      <c r="A89" s="16" t="s">
        <v>543</v>
      </c>
      <c r="B89" s="9" t="s">
        <v>1382</v>
      </c>
      <c r="C89" s="35" t="s">
        <v>979</v>
      </c>
      <c r="D89" s="17">
        <f t="shared" si="1"/>
        <v>8</v>
      </c>
      <c r="E89" s="17">
        <v>8</v>
      </c>
      <c r="F89" s="17">
        <v>8</v>
      </c>
    </row>
    <row r="90" spans="1:6" ht="15" customHeight="1" x14ac:dyDescent="0.25">
      <c r="A90" s="16" t="s">
        <v>551</v>
      </c>
      <c r="B90" s="9" t="s">
        <v>1383</v>
      </c>
      <c r="C90" s="35" t="s">
        <v>979</v>
      </c>
      <c r="D90" s="17">
        <f t="shared" si="1"/>
        <v>3.7</v>
      </c>
      <c r="E90" s="17">
        <v>3.7</v>
      </c>
      <c r="F90" s="17">
        <v>3.7</v>
      </c>
    </row>
    <row r="91" spans="1:6" ht="15" customHeight="1" x14ac:dyDescent="0.25">
      <c r="A91" s="16" t="s">
        <v>453</v>
      </c>
      <c r="B91" s="9" t="s">
        <v>1384</v>
      </c>
      <c r="C91" s="35" t="s">
        <v>979</v>
      </c>
      <c r="D91" s="17">
        <f t="shared" si="1"/>
        <v>49.9</v>
      </c>
      <c r="E91" s="17">
        <v>49.9</v>
      </c>
      <c r="F91" s="17">
        <v>49.9</v>
      </c>
    </row>
    <row r="92" spans="1:6" ht="15" customHeight="1" x14ac:dyDescent="0.25">
      <c r="A92" s="20">
        <v>1879</v>
      </c>
      <c r="B92" s="9" t="s">
        <v>1385</v>
      </c>
      <c r="C92" s="35" t="s">
        <v>979</v>
      </c>
      <c r="D92" s="17">
        <f t="shared" si="1"/>
        <v>2.56</v>
      </c>
      <c r="E92" s="17">
        <v>2.56</v>
      </c>
      <c r="F92" s="17">
        <v>2.56</v>
      </c>
    </row>
    <row r="93" spans="1:6" ht="15" customHeight="1" x14ac:dyDescent="0.25">
      <c r="A93" s="20">
        <v>1966</v>
      </c>
      <c r="B93" s="9" t="s">
        <v>1386</v>
      </c>
      <c r="C93" s="35" t="s">
        <v>979</v>
      </c>
      <c r="D93" s="17">
        <f t="shared" si="1"/>
        <v>21.04</v>
      </c>
      <c r="E93" s="17">
        <v>21.04</v>
      </c>
      <c r="F93" s="17">
        <v>21.04</v>
      </c>
    </row>
    <row r="94" spans="1:6" ht="15" customHeight="1" x14ac:dyDescent="0.25">
      <c r="A94" s="16" t="s">
        <v>617</v>
      </c>
      <c r="B94" s="9" t="s">
        <v>1387</v>
      </c>
      <c r="C94" s="35" t="s">
        <v>979</v>
      </c>
      <c r="D94" s="17">
        <f t="shared" si="1"/>
        <v>10.8</v>
      </c>
      <c r="E94" s="17">
        <v>10.8</v>
      </c>
      <c r="F94" s="17">
        <v>10.8</v>
      </c>
    </row>
    <row r="95" spans="1:6" ht="15" customHeight="1" x14ac:dyDescent="0.25">
      <c r="A95" s="16" t="s">
        <v>623</v>
      </c>
      <c r="B95" s="9" t="s">
        <v>1388</v>
      </c>
      <c r="C95" s="35" t="s">
        <v>979</v>
      </c>
      <c r="D95" s="17">
        <f t="shared" si="1"/>
        <v>11.26</v>
      </c>
      <c r="E95" s="17">
        <v>11.26</v>
      </c>
      <c r="F95" s="17">
        <v>11.26</v>
      </c>
    </row>
    <row r="96" spans="1:6" ht="15" customHeight="1" x14ac:dyDescent="0.25">
      <c r="A96" s="20">
        <v>2692</v>
      </c>
      <c r="B96" s="9" t="s">
        <v>1389</v>
      </c>
      <c r="C96" s="35" t="s">
        <v>870</v>
      </c>
      <c r="D96" s="17">
        <f t="shared" si="1"/>
        <v>6.94</v>
      </c>
      <c r="E96" s="17">
        <v>6.94</v>
      </c>
      <c r="F96" s="17">
        <v>6.94</v>
      </c>
    </row>
    <row r="97" spans="1:6" ht="15" customHeight="1" x14ac:dyDescent="0.25">
      <c r="A97" s="16" t="s">
        <v>565</v>
      </c>
      <c r="B97" s="9" t="s">
        <v>1390</v>
      </c>
      <c r="C97" s="35" t="s">
        <v>979</v>
      </c>
      <c r="D97" s="17">
        <f t="shared" si="1"/>
        <v>7.7</v>
      </c>
      <c r="E97" s="17">
        <v>7.7</v>
      </c>
      <c r="F97" s="17">
        <v>7.7</v>
      </c>
    </row>
    <row r="98" spans="1:6" ht="15" customHeight="1" x14ac:dyDescent="0.25">
      <c r="A98" s="16" t="s">
        <v>473</v>
      </c>
      <c r="B98" s="9" t="s">
        <v>1391</v>
      </c>
      <c r="C98" s="35" t="s">
        <v>979</v>
      </c>
      <c r="D98" s="17">
        <f t="shared" si="1"/>
        <v>63.1</v>
      </c>
      <c r="E98" s="17">
        <v>63.1</v>
      </c>
      <c r="F98" s="17">
        <v>63.1</v>
      </c>
    </row>
    <row r="99" spans="1:6" ht="15" customHeight="1" x14ac:dyDescent="0.25">
      <c r="A99" s="20">
        <v>34653</v>
      </c>
      <c r="B99" s="9" t="s">
        <v>1392</v>
      </c>
      <c r="C99" s="35" t="s">
        <v>979</v>
      </c>
      <c r="D99" s="17">
        <f t="shared" si="1"/>
        <v>9.49</v>
      </c>
      <c r="E99" s="17">
        <v>9.49</v>
      </c>
      <c r="F99" s="17">
        <v>9.49</v>
      </c>
    </row>
    <row r="100" spans="1:6" ht="15" customHeight="1" x14ac:dyDescent="0.25">
      <c r="A100" s="20">
        <v>2370</v>
      </c>
      <c r="B100" s="9" t="s">
        <v>1393</v>
      </c>
      <c r="C100" s="35" t="s">
        <v>979</v>
      </c>
      <c r="D100" s="17">
        <f t="shared" si="1"/>
        <v>12.3</v>
      </c>
      <c r="E100" s="17">
        <v>12.3</v>
      </c>
      <c r="F100" s="17">
        <v>12.3</v>
      </c>
    </row>
    <row r="101" spans="1:6" ht="15" customHeight="1" x14ac:dyDescent="0.25">
      <c r="A101" s="16" t="s">
        <v>476</v>
      </c>
      <c r="B101" s="9" t="s">
        <v>1394</v>
      </c>
      <c r="C101" s="35" t="s">
        <v>979</v>
      </c>
      <c r="D101" s="17">
        <f t="shared" si="1"/>
        <v>52.9</v>
      </c>
      <c r="E101" s="17">
        <v>52.9</v>
      </c>
      <c r="F101" s="17">
        <v>52.9</v>
      </c>
    </row>
    <row r="102" spans="1:6" ht="15" customHeight="1" x14ac:dyDescent="0.25">
      <c r="A102" s="20">
        <v>2436</v>
      </c>
      <c r="B102" s="9" t="s">
        <v>1395</v>
      </c>
      <c r="C102" s="35" t="s">
        <v>981</v>
      </c>
      <c r="D102" s="17">
        <f t="shared" si="1"/>
        <v>14.93</v>
      </c>
      <c r="E102" s="17">
        <v>12.9</v>
      </c>
      <c r="F102" s="17">
        <v>14.93</v>
      </c>
    </row>
    <row r="103" spans="1:6" ht="15" customHeight="1" x14ac:dyDescent="0.25">
      <c r="A103" s="16" t="s">
        <v>544</v>
      </c>
      <c r="B103" s="9" t="s">
        <v>1396</v>
      </c>
      <c r="C103" s="35" t="s">
        <v>970</v>
      </c>
      <c r="D103" s="17">
        <f t="shared" si="1"/>
        <v>7.3</v>
      </c>
      <c r="E103" s="17">
        <v>7.3</v>
      </c>
      <c r="F103" s="17">
        <v>7.3</v>
      </c>
    </row>
    <row r="104" spans="1:6" ht="15" customHeight="1" x14ac:dyDescent="0.25">
      <c r="A104" s="20">
        <v>2674</v>
      </c>
      <c r="B104" s="9" t="s">
        <v>1397</v>
      </c>
      <c r="C104" s="35" t="s">
        <v>970</v>
      </c>
      <c r="D104" s="17">
        <f t="shared" si="1"/>
        <v>3.42</v>
      </c>
      <c r="E104" s="17">
        <v>3.42</v>
      </c>
      <c r="F104" s="17">
        <v>3.42</v>
      </c>
    </row>
    <row r="105" spans="1:6" ht="15" customHeight="1" x14ac:dyDescent="0.25">
      <c r="A105" s="20">
        <v>2688</v>
      </c>
      <c r="B105" s="9" t="s">
        <v>1398</v>
      </c>
      <c r="C105" s="35" t="s">
        <v>970</v>
      </c>
      <c r="D105" s="17">
        <f t="shared" si="1"/>
        <v>1.8</v>
      </c>
      <c r="E105" s="17">
        <v>1.8</v>
      </c>
      <c r="F105" s="17">
        <v>1.8</v>
      </c>
    </row>
    <row r="106" spans="1:6" ht="15" customHeight="1" x14ac:dyDescent="0.25">
      <c r="A106" s="16" t="s">
        <v>701</v>
      </c>
      <c r="B106" s="9" t="s">
        <v>1399</v>
      </c>
      <c r="C106" s="35" t="s">
        <v>981</v>
      </c>
      <c r="D106" s="17">
        <f t="shared" si="1"/>
        <v>22.72</v>
      </c>
      <c r="E106" s="17">
        <v>22.72</v>
      </c>
      <c r="F106" s="17">
        <v>22.72</v>
      </c>
    </row>
    <row r="107" spans="1:6" ht="15" customHeight="1" x14ac:dyDescent="0.25">
      <c r="A107" s="20">
        <v>2696</v>
      </c>
      <c r="B107" s="9" t="s">
        <v>1400</v>
      </c>
      <c r="C107" s="35" t="s">
        <v>981</v>
      </c>
      <c r="D107" s="17">
        <f t="shared" si="1"/>
        <v>14.93</v>
      </c>
      <c r="E107" s="17">
        <v>12.9</v>
      </c>
      <c r="F107" s="17">
        <v>14.93</v>
      </c>
    </row>
    <row r="108" spans="1:6" ht="15" customHeight="1" x14ac:dyDescent="0.25">
      <c r="A108" s="20">
        <v>4083</v>
      </c>
      <c r="B108" s="9" t="s">
        <v>1401</v>
      </c>
      <c r="C108" s="35" t="s">
        <v>981</v>
      </c>
      <c r="D108" s="17">
        <f t="shared" si="1"/>
        <v>23.37</v>
      </c>
      <c r="E108" s="17">
        <v>20.2</v>
      </c>
      <c r="F108" s="17">
        <v>23.37</v>
      </c>
    </row>
    <row r="109" spans="1:6" ht="15" customHeight="1" x14ac:dyDescent="0.25">
      <c r="A109" s="20">
        <v>2705</v>
      </c>
      <c r="B109" s="9" t="s">
        <v>1402</v>
      </c>
      <c r="C109" s="35" t="s">
        <v>1403</v>
      </c>
      <c r="D109" s="17">
        <f t="shared" si="1"/>
        <v>0.76</v>
      </c>
      <c r="E109" s="17">
        <v>0.76</v>
      </c>
      <c r="F109" s="17">
        <v>0.76</v>
      </c>
    </row>
    <row r="110" spans="1:6" ht="15" customHeight="1" x14ac:dyDescent="0.25">
      <c r="A110" s="20">
        <v>11683</v>
      </c>
      <c r="B110" s="9" t="s">
        <v>1404</v>
      </c>
      <c r="C110" s="35" t="s">
        <v>979</v>
      </c>
      <c r="D110" s="17">
        <f t="shared" si="1"/>
        <v>26.14</v>
      </c>
      <c r="E110" s="17">
        <v>26.14</v>
      </c>
      <c r="F110" s="17">
        <v>26.14</v>
      </c>
    </row>
    <row r="111" spans="1:6" ht="15" customHeight="1" x14ac:dyDescent="0.25">
      <c r="A111" s="20">
        <v>2706</v>
      </c>
      <c r="B111" s="9" t="s">
        <v>1405</v>
      </c>
      <c r="C111" s="35" t="s">
        <v>981</v>
      </c>
      <c r="D111" s="17">
        <f t="shared" si="1"/>
        <v>90.16</v>
      </c>
      <c r="E111" s="17">
        <v>77.930000000000007</v>
      </c>
      <c r="F111" s="17">
        <v>90.16</v>
      </c>
    </row>
    <row r="112" spans="1:6" ht="15" customHeight="1" x14ac:dyDescent="0.25">
      <c r="A112" s="20">
        <v>43483</v>
      </c>
      <c r="B112" s="9" t="s">
        <v>1406</v>
      </c>
      <c r="C112" s="35" t="s">
        <v>981</v>
      </c>
      <c r="D112" s="17">
        <f t="shared" si="1"/>
        <v>1.05</v>
      </c>
      <c r="E112" s="17">
        <v>1.05</v>
      </c>
      <c r="F112" s="17">
        <v>1.05</v>
      </c>
    </row>
    <row r="113" spans="1:6" ht="15" customHeight="1" x14ac:dyDescent="0.25">
      <c r="A113" s="20">
        <v>43484</v>
      </c>
      <c r="B113" s="9" t="s">
        <v>1407</v>
      </c>
      <c r="C113" s="35" t="s">
        <v>981</v>
      </c>
      <c r="D113" s="17">
        <f t="shared" si="1"/>
        <v>0.91</v>
      </c>
      <c r="E113" s="17">
        <v>0.91</v>
      </c>
      <c r="F113" s="17">
        <v>0.91</v>
      </c>
    </row>
    <row r="114" spans="1:6" ht="15" customHeight="1" x14ac:dyDescent="0.25">
      <c r="A114" s="20">
        <v>43485</v>
      </c>
      <c r="B114" s="9" t="s">
        <v>1408</v>
      </c>
      <c r="C114" s="35" t="s">
        <v>981</v>
      </c>
      <c r="D114" s="17">
        <f t="shared" si="1"/>
        <v>0.8</v>
      </c>
      <c r="E114" s="17">
        <v>0.8</v>
      </c>
      <c r="F114" s="17">
        <v>0.8</v>
      </c>
    </row>
    <row r="115" spans="1:6" ht="15" customHeight="1" x14ac:dyDescent="0.25">
      <c r="A115" s="20">
        <v>43487</v>
      </c>
      <c r="B115" s="9" t="s">
        <v>1409</v>
      </c>
      <c r="C115" s="35" t="s">
        <v>981</v>
      </c>
      <c r="D115" s="17">
        <f t="shared" si="1"/>
        <v>0.94</v>
      </c>
      <c r="E115" s="17">
        <v>0.94</v>
      </c>
      <c r="F115" s="17">
        <v>0.94</v>
      </c>
    </row>
    <row r="116" spans="1:6" ht="15" customHeight="1" x14ac:dyDescent="0.25">
      <c r="A116" s="20">
        <v>43486</v>
      </c>
      <c r="B116" s="9" t="s">
        <v>1410</v>
      </c>
      <c r="C116" s="35" t="s">
        <v>981</v>
      </c>
      <c r="D116" s="17">
        <f t="shared" si="1"/>
        <v>0.55000000000000004</v>
      </c>
      <c r="E116" s="17">
        <v>0.55000000000000004</v>
      </c>
      <c r="F116" s="17">
        <v>0.55000000000000004</v>
      </c>
    </row>
    <row r="117" spans="1:6" ht="15" customHeight="1" x14ac:dyDescent="0.25">
      <c r="A117" s="20">
        <v>43488</v>
      </c>
      <c r="B117" s="9" t="s">
        <v>1411</v>
      </c>
      <c r="C117" s="35" t="s">
        <v>981</v>
      </c>
      <c r="D117" s="17">
        <f t="shared" si="1"/>
        <v>0.63</v>
      </c>
      <c r="E117" s="17">
        <v>0.63</v>
      </c>
      <c r="F117" s="17">
        <v>0.63</v>
      </c>
    </row>
    <row r="118" spans="1:6" ht="15" customHeight="1" x14ac:dyDescent="0.25">
      <c r="A118" s="20">
        <v>43489</v>
      </c>
      <c r="B118" s="9" t="s">
        <v>1412</v>
      </c>
      <c r="C118" s="35" t="s">
        <v>981</v>
      </c>
      <c r="D118" s="17">
        <f t="shared" si="1"/>
        <v>0.95</v>
      </c>
      <c r="E118" s="17">
        <v>0.95</v>
      </c>
      <c r="F118" s="17">
        <v>0.95</v>
      </c>
    </row>
    <row r="119" spans="1:6" ht="15" customHeight="1" x14ac:dyDescent="0.25">
      <c r="A119" s="20">
        <v>43490</v>
      </c>
      <c r="B119" s="9" t="s">
        <v>1413</v>
      </c>
      <c r="C119" s="35" t="s">
        <v>981</v>
      </c>
      <c r="D119" s="17">
        <f t="shared" si="1"/>
        <v>1.33</v>
      </c>
      <c r="E119" s="17">
        <v>1.33</v>
      </c>
      <c r="F119" s="17">
        <v>1.33</v>
      </c>
    </row>
    <row r="120" spans="1:6" ht="15" customHeight="1" x14ac:dyDescent="0.25">
      <c r="A120" s="20">
        <v>43491</v>
      </c>
      <c r="B120" s="9" t="s">
        <v>1414</v>
      </c>
      <c r="C120" s="35" t="s">
        <v>981</v>
      </c>
      <c r="D120" s="17">
        <f t="shared" si="1"/>
        <v>1.01</v>
      </c>
      <c r="E120" s="17">
        <v>1.01</v>
      </c>
      <c r="F120" s="17">
        <v>1.01</v>
      </c>
    </row>
    <row r="121" spans="1:6" ht="15" customHeight="1" x14ac:dyDescent="0.25">
      <c r="A121" s="16" t="s">
        <v>636</v>
      </c>
      <c r="B121" s="9" t="s">
        <v>1415</v>
      </c>
      <c r="C121" s="35" t="s">
        <v>979</v>
      </c>
      <c r="D121" s="17">
        <f t="shared" si="1"/>
        <v>238.8</v>
      </c>
      <c r="E121" s="17">
        <v>238.8</v>
      </c>
      <c r="F121" s="17">
        <v>238.8</v>
      </c>
    </row>
    <row r="122" spans="1:6" ht="15" customHeight="1" x14ac:dyDescent="0.25">
      <c r="A122" s="16" t="s">
        <v>624</v>
      </c>
      <c r="B122" s="9" t="s">
        <v>1416</v>
      </c>
      <c r="C122" s="35" t="s">
        <v>979</v>
      </c>
      <c r="D122" s="17">
        <f t="shared" si="1"/>
        <v>9.0500000000000007</v>
      </c>
      <c r="E122" s="17">
        <v>9.0500000000000007</v>
      </c>
      <c r="F122" s="17">
        <v>9.0500000000000007</v>
      </c>
    </row>
    <row r="123" spans="1:6" ht="15" customHeight="1" x14ac:dyDescent="0.25">
      <c r="A123" s="20">
        <v>39017</v>
      </c>
      <c r="B123" s="9" t="s">
        <v>1417</v>
      </c>
      <c r="C123" s="35" t="s">
        <v>979</v>
      </c>
      <c r="D123" s="17">
        <f t="shared" si="1"/>
        <v>0.21</v>
      </c>
      <c r="E123" s="17">
        <v>0.21</v>
      </c>
      <c r="F123" s="17">
        <v>0.21</v>
      </c>
    </row>
    <row r="124" spans="1:6" ht="15" customHeight="1" x14ac:dyDescent="0.25">
      <c r="A124" s="20">
        <v>39315</v>
      </c>
      <c r="B124" s="9" t="s">
        <v>1418</v>
      </c>
      <c r="C124" s="35" t="s">
        <v>979</v>
      </c>
      <c r="D124" s="17">
        <f t="shared" si="1"/>
        <v>0.35</v>
      </c>
      <c r="E124" s="17">
        <v>0.35</v>
      </c>
      <c r="F124" s="17">
        <v>0.35</v>
      </c>
    </row>
    <row r="125" spans="1:6" ht="15" customHeight="1" x14ac:dyDescent="0.25">
      <c r="A125" s="16" t="s">
        <v>632</v>
      </c>
      <c r="B125" s="9" t="s">
        <v>1419</v>
      </c>
      <c r="C125" s="35" t="s">
        <v>979</v>
      </c>
      <c r="D125" s="17">
        <f t="shared" si="1"/>
        <v>21.49</v>
      </c>
      <c r="E125" s="17">
        <v>21.49</v>
      </c>
      <c r="F125" s="17">
        <v>21.49</v>
      </c>
    </row>
    <row r="126" spans="1:6" ht="15" customHeight="1" x14ac:dyDescent="0.25">
      <c r="A126" s="20">
        <v>38094</v>
      </c>
      <c r="B126" s="9" t="s">
        <v>1420</v>
      </c>
      <c r="C126" s="35" t="s">
        <v>979</v>
      </c>
      <c r="D126" s="17">
        <f t="shared" si="1"/>
        <v>2.85</v>
      </c>
      <c r="E126" s="17">
        <v>2.85</v>
      </c>
      <c r="F126" s="17">
        <v>2.85</v>
      </c>
    </row>
    <row r="127" spans="1:6" ht="15" customHeight="1" x14ac:dyDescent="0.25">
      <c r="A127" s="16" t="s">
        <v>404</v>
      </c>
      <c r="B127" s="9" t="s">
        <v>1137</v>
      </c>
      <c r="C127" s="35" t="s">
        <v>979</v>
      </c>
      <c r="D127" s="17">
        <f t="shared" si="1"/>
        <v>470.54</v>
      </c>
      <c r="E127" s="17">
        <v>470.54</v>
      </c>
      <c r="F127" s="17">
        <v>470.54</v>
      </c>
    </row>
    <row r="128" spans="1:6" ht="15" customHeight="1" x14ac:dyDescent="0.25">
      <c r="A128" s="20">
        <v>13</v>
      </c>
      <c r="B128" s="9" t="s">
        <v>1421</v>
      </c>
      <c r="C128" s="35" t="s">
        <v>976</v>
      </c>
      <c r="D128" s="17">
        <f t="shared" si="1"/>
        <v>15.09</v>
      </c>
      <c r="E128" s="17">
        <v>15.09</v>
      </c>
      <c r="F128" s="17">
        <v>15.09</v>
      </c>
    </row>
    <row r="129" spans="1:6" ht="15" customHeight="1" x14ac:dyDescent="0.25">
      <c r="A129" s="20">
        <v>21142</v>
      </c>
      <c r="B129" s="9" t="s">
        <v>1422</v>
      </c>
      <c r="C129" s="35" t="s">
        <v>979</v>
      </c>
      <c r="D129" s="17">
        <f t="shared" si="1"/>
        <v>17.670000000000002</v>
      </c>
      <c r="E129" s="17">
        <v>17.670000000000002</v>
      </c>
      <c r="F129" s="17">
        <v>17.670000000000002</v>
      </c>
    </row>
    <row r="130" spans="1:6" ht="15" customHeight="1" x14ac:dyDescent="0.25">
      <c r="A130" s="20">
        <v>37372</v>
      </c>
      <c r="B130" s="9" t="s">
        <v>1423</v>
      </c>
      <c r="C130" s="35" t="s">
        <v>981</v>
      </c>
      <c r="D130" s="17">
        <f t="shared" ref="D130:D193" si="2">IF(ONERA="COM DESONERAÇÃO",E130,F130)</f>
        <v>0.55000000000000004</v>
      </c>
      <c r="E130" s="17">
        <v>0.55000000000000004</v>
      </c>
      <c r="F130" s="17">
        <v>0.55000000000000004</v>
      </c>
    </row>
    <row r="131" spans="1:6" ht="15" customHeight="1" x14ac:dyDescent="0.25">
      <c r="A131" s="16" t="s">
        <v>527</v>
      </c>
      <c r="B131" s="9" t="s">
        <v>1424</v>
      </c>
      <c r="C131" s="35" t="s">
        <v>1425</v>
      </c>
      <c r="D131" s="17">
        <f t="shared" si="2"/>
        <v>300</v>
      </c>
      <c r="E131" s="17">
        <v>300</v>
      </c>
      <c r="F131" s="17">
        <v>300</v>
      </c>
    </row>
    <row r="132" spans="1:6" ht="15" customHeight="1" x14ac:dyDescent="0.25">
      <c r="A132" s="16" t="s">
        <v>520</v>
      </c>
      <c r="B132" s="9" t="s">
        <v>1426</v>
      </c>
      <c r="C132" s="35" t="s">
        <v>979</v>
      </c>
      <c r="D132" s="17">
        <f t="shared" si="2"/>
        <v>78.53</v>
      </c>
      <c r="E132" s="17">
        <v>78.53</v>
      </c>
      <c r="F132" s="17">
        <v>78.53</v>
      </c>
    </row>
    <row r="133" spans="1:6" ht="15" customHeight="1" x14ac:dyDescent="0.25">
      <c r="A133" s="20">
        <v>43459</v>
      </c>
      <c r="B133" s="9" t="s">
        <v>1427</v>
      </c>
      <c r="C133" s="35" t="s">
        <v>981</v>
      </c>
      <c r="D133" s="17">
        <f t="shared" si="2"/>
        <v>0.38</v>
      </c>
      <c r="E133" s="17">
        <v>0.38</v>
      </c>
      <c r="F133" s="17">
        <v>0.38</v>
      </c>
    </row>
    <row r="134" spans="1:6" ht="15" customHeight="1" x14ac:dyDescent="0.25">
      <c r="A134" s="20">
        <v>43460</v>
      </c>
      <c r="B134" s="9" t="s">
        <v>1428</v>
      </c>
      <c r="C134" s="35" t="s">
        <v>981</v>
      </c>
      <c r="D134" s="17">
        <f t="shared" si="2"/>
        <v>0.62</v>
      </c>
      <c r="E134" s="17">
        <v>0.62</v>
      </c>
      <c r="F134" s="17">
        <v>0.62</v>
      </c>
    </row>
    <row r="135" spans="1:6" ht="15" customHeight="1" x14ac:dyDescent="0.25">
      <c r="A135" s="20">
        <v>43461</v>
      </c>
      <c r="B135" s="9" t="s">
        <v>1429</v>
      </c>
      <c r="C135" s="35" t="s">
        <v>981</v>
      </c>
      <c r="D135" s="17">
        <f t="shared" si="2"/>
        <v>0.28000000000000003</v>
      </c>
      <c r="E135" s="17">
        <v>0.28000000000000003</v>
      </c>
      <c r="F135" s="17">
        <v>0.28000000000000003</v>
      </c>
    </row>
    <row r="136" spans="1:6" ht="15" customHeight="1" x14ac:dyDescent="0.25">
      <c r="A136" s="20">
        <v>43463</v>
      </c>
      <c r="B136" s="9" t="s">
        <v>1430</v>
      </c>
      <c r="C136" s="35" t="s">
        <v>981</v>
      </c>
      <c r="D136" s="17">
        <f t="shared" si="2"/>
        <v>0.08</v>
      </c>
      <c r="E136" s="17">
        <v>0.08</v>
      </c>
      <c r="F136" s="17">
        <v>0.08</v>
      </c>
    </row>
    <row r="137" spans="1:6" ht="15" customHeight="1" x14ac:dyDescent="0.25">
      <c r="A137" s="20">
        <v>43462</v>
      </c>
      <c r="B137" s="9" t="s">
        <v>1431</v>
      </c>
      <c r="C137" s="35" t="s">
        <v>981</v>
      </c>
      <c r="D137" s="17">
        <f t="shared" si="2"/>
        <v>0.01</v>
      </c>
      <c r="E137" s="17">
        <v>0.01</v>
      </c>
      <c r="F137" s="17">
        <v>0.01</v>
      </c>
    </row>
    <row r="138" spans="1:6" ht="15" customHeight="1" x14ac:dyDescent="0.25">
      <c r="A138" s="20">
        <v>43464</v>
      </c>
      <c r="B138" s="9" t="s">
        <v>1432</v>
      </c>
      <c r="C138" s="35" t="s">
        <v>981</v>
      </c>
      <c r="D138" s="17">
        <f t="shared" si="2"/>
        <v>0.01</v>
      </c>
      <c r="E138" s="17">
        <v>0.01</v>
      </c>
      <c r="F138" s="17">
        <v>0.01</v>
      </c>
    </row>
    <row r="139" spans="1:6" ht="15" customHeight="1" x14ac:dyDescent="0.25">
      <c r="A139" s="20">
        <v>43465</v>
      </c>
      <c r="B139" s="9" t="s">
        <v>1433</v>
      </c>
      <c r="C139" s="35" t="s">
        <v>981</v>
      </c>
      <c r="D139" s="17">
        <f t="shared" si="2"/>
        <v>0.57999999999999996</v>
      </c>
      <c r="E139" s="17">
        <v>0.57999999999999996</v>
      </c>
      <c r="F139" s="17">
        <v>0.57999999999999996</v>
      </c>
    </row>
    <row r="140" spans="1:6" ht="15" customHeight="1" x14ac:dyDescent="0.25">
      <c r="A140" s="20">
        <v>43466</v>
      </c>
      <c r="B140" s="9" t="s">
        <v>1434</v>
      </c>
      <c r="C140" s="35" t="s">
        <v>981</v>
      </c>
      <c r="D140" s="17">
        <f t="shared" si="2"/>
        <v>1.27</v>
      </c>
      <c r="E140" s="17">
        <v>1.27</v>
      </c>
      <c r="F140" s="17">
        <v>1.27</v>
      </c>
    </row>
    <row r="141" spans="1:6" ht="15" customHeight="1" x14ac:dyDescent="0.25">
      <c r="A141" s="20">
        <v>43467</v>
      </c>
      <c r="B141" s="9" t="s">
        <v>1435</v>
      </c>
      <c r="C141" s="35" t="s">
        <v>981</v>
      </c>
      <c r="D141" s="17">
        <f t="shared" si="2"/>
        <v>0.41</v>
      </c>
      <c r="E141" s="17">
        <v>0.41</v>
      </c>
      <c r="F141" s="17">
        <v>0.41</v>
      </c>
    </row>
    <row r="142" spans="1:6" ht="15" customHeight="1" x14ac:dyDescent="0.25">
      <c r="A142" s="16" t="s">
        <v>545</v>
      </c>
      <c r="B142" s="9" t="s">
        <v>1436</v>
      </c>
      <c r="C142" s="35" t="s">
        <v>970</v>
      </c>
      <c r="D142" s="17">
        <f t="shared" si="2"/>
        <v>5.3</v>
      </c>
      <c r="E142" s="17">
        <v>5.3</v>
      </c>
      <c r="F142" s="17">
        <v>5.3</v>
      </c>
    </row>
    <row r="143" spans="1:6" ht="15" customHeight="1" x14ac:dyDescent="0.25">
      <c r="A143" s="20">
        <v>944</v>
      </c>
      <c r="B143" s="9" t="s">
        <v>1437</v>
      </c>
      <c r="C143" s="35" t="s">
        <v>970</v>
      </c>
      <c r="D143" s="17">
        <f t="shared" si="2"/>
        <v>4.05</v>
      </c>
      <c r="E143" s="17">
        <v>4.05</v>
      </c>
      <c r="F143" s="17">
        <v>4.05</v>
      </c>
    </row>
    <row r="144" spans="1:6" ht="15" customHeight="1" x14ac:dyDescent="0.25">
      <c r="A144" s="20">
        <v>940</v>
      </c>
      <c r="B144" s="9" t="s">
        <v>1438</v>
      </c>
      <c r="C144" s="35" t="s">
        <v>970</v>
      </c>
      <c r="D144" s="17">
        <f t="shared" si="2"/>
        <v>5.6</v>
      </c>
      <c r="E144" s="17">
        <v>5.6</v>
      </c>
      <c r="F144" s="17">
        <v>5.6</v>
      </c>
    </row>
    <row r="145" spans="1:6" ht="15" customHeight="1" x14ac:dyDescent="0.25">
      <c r="A145" s="20">
        <v>20111</v>
      </c>
      <c r="B145" s="9" t="s">
        <v>1439</v>
      </c>
      <c r="C145" s="35" t="s">
        <v>979</v>
      </c>
      <c r="D145" s="17">
        <f t="shared" si="2"/>
        <v>12.55</v>
      </c>
      <c r="E145" s="17">
        <v>12.55</v>
      </c>
      <c r="F145" s="17">
        <v>12.55</v>
      </c>
    </row>
    <row r="146" spans="1:6" ht="15" customHeight="1" x14ac:dyDescent="0.25">
      <c r="A146" s="20">
        <v>21127</v>
      </c>
      <c r="B146" s="9" t="s">
        <v>1440</v>
      </c>
      <c r="C146" s="35" t="s">
        <v>979</v>
      </c>
      <c r="D146" s="17">
        <f t="shared" si="2"/>
        <v>4.74</v>
      </c>
      <c r="E146" s="17">
        <v>4.74</v>
      </c>
      <c r="F146" s="17">
        <v>4.74</v>
      </c>
    </row>
    <row r="147" spans="1:6" ht="15" customHeight="1" x14ac:dyDescent="0.25">
      <c r="A147" s="20">
        <v>14153</v>
      </c>
      <c r="B147" s="9" t="s">
        <v>1441</v>
      </c>
      <c r="C147" s="35" t="s">
        <v>979</v>
      </c>
      <c r="D147" s="17">
        <f t="shared" si="2"/>
        <v>52.81</v>
      </c>
      <c r="E147" s="17">
        <v>52.81</v>
      </c>
      <c r="F147" s="17">
        <v>52.81</v>
      </c>
    </row>
    <row r="148" spans="1:6" ht="15" customHeight="1" x14ac:dyDescent="0.25">
      <c r="A148" s="16" t="s">
        <v>416</v>
      </c>
      <c r="B148" s="9" t="s">
        <v>1442</v>
      </c>
      <c r="C148" s="35" t="s">
        <v>970</v>
      </c>
      <c r="D148" s="17">
        <f t="shared" si="2"/>
        <v>0.28999999999999998</v>
      </c>
      <c r="E148" s="17">
        <v>0.28999999999999998</v>
      </c>
      <c r="F148" s="17">
        <v>0.28999999999999998</v>
      </c>
    </row>
    <row r="149" spans="1:6" ht="15" customHeight="1" x14ac:dyDescent="0.25">
      <c r="A149" s="16" t="s">
        <v>309</v>
      </c>
      <c r="B149" s="9" t="s">
        <v>1443</v>
      </c>
      <c r="C149" s="35" t="s">
        <v>970</v>
      </c>
      <c r="D149" s="17">
        <f t="shared" si="2"/>
        <v>0.28999999999999998</v>
      </c>
      <c r="E149" s="17">
        <v>0.28999999999999998</v>
      </c>
      <c r="F149" s="17">
        <v>0.28999999999999998</v>
      </c>
    </row>
    <row r="150" spans="1:6" ht="15" customHeight="1" x14ac:dyDescent="0.25">
      <c r="A150" s="16" t="s">
        <v>801</v>
      </c>
      <c r="B150" s="9" t="s">
        <v>1444</v>
      </c>
      <c r="C150" s="35" t="s">
        <v>979</v>
      </c>
      <c r="D150" s="17">
        <f t="shared" si="2"/>
        <v>15.15</v>
      </c>
      <c r="E150" s="17">
        <v>15.15</v>
      </c>
      <c r="F150" s="17">
        <v>15.15</v>
      </c>
    </row>
    <row r="151" spans="1:6" ht="15" customHeight="1" x14ac:dyDescent="0.25">
      <c r="A151" s="20">
        <v>36238</v>
      </c>
      <c r="B151" s="9" t="s">
        <v>1445</v>
      </c>
      <c r="C151" s="35" t="s">
        <v>219</v>
      </c>
      <c r="D151" s="17">
        <f t="shared" si="2"/>
        <v>34.200000000000003</v>
      </c>
      <c r="E151" s="17">
        <v>34.200000000000003</v>
      </c>
      <c r="F151" s="17">
        <v>34.200000000000003</v>
      </c>
    </row>
    <row r="152" spans="1:6" ht="15" customHeight="1" x14ac:dyDescent="0.25">
      <c r="A152" s="16" t="s">
        <v>803</v>
      </c>
      <c r="B152" s="9" t="s">
        <v>1446</v>
      </c>
      <c r="C152" s="35" t="s">
        <v>979</v>
      </c>
      <c r="D152" s="17">
        <f t="shared" si="2"/>
        <v>246</v>
      </c>
      <c r="E152" s="17">
        <v>246</v>
      </c>
      <c r="F152" s="17">
        <v>246</v>
      </c>
    </row>
    <row r="153" spans="1:6" ht="15" customHeight="1" x14ac:dyDescent="0.25">
      <c r="A153" s="16" t="s">
        <v>461</v>
      </c>
      <c r="B153" s="9" t="s">
        <v>1447</v>
      </c>
      <c r="C153" s="35" t="s">
        <v>979</v>
      </c>
      <c r="D153" s="17">
        <f t="shared" si="2"/>
        <v>11.72</v>
      </c>
      <c r="E153" s="17">
        <v>11.72</v>
      </c>
      <c r="F153" s="17">
        <v>11.72</v>
      </c>
    </row>
    <row r="154" spans="1:6" ht="15" customHeight="1" x14ac:dyDescent="0.25">
      <c r="A154" s="20">
        <v>4222</v>
      </c>
      <c r="B154" s="9" t="s">
        <v>1448</v>
      </c>
      <c r="C154" s="35" t="s">
        <v>870</v>
      </c>
      <c r="D154" s="17">
        <f t="shared" si="2"/>
        <v>6</v>
      </c>
      <c r="E154" s="17">
        <v>6</v>
      </c>
      <c r="F154" s="17">
        <v>6</v>
      </c>
    </row>
    <row r="155" spans="1:6" ht="15" customHeight="1" x14ac:dyDescent="0.25">
      <c r="A155" s="16" t="s">
        <v>401</v>
      </c>
      <c r="B155" s="9" t="s">
        <v>1449</v>
      </c>
      <c r="C155" s="35" t="s">
        <v>219</v>
      </c>
      <c r="D155" s="17">
        <f t="shared" si="2"/>
        <v>114.07</v>
      </c>
      <c r="E155" s="17">
        <v>114.07</v>
      </c>
      <c r="F155" s="17">
        <v>114.07</v>
      </c>
    </row>
    <row r="156" spans="1:6" ht="15" customHeight="1" x14ac:dyDescent="0.25">
      <c r="A156" s="16" t="s">
        <v>382</v>
      </c>
      <c r="B156" s="9" t="s">
        <v>1450</v>
      </c>
      <c r="C156" s="35" t="s">
        <v>219</v>
      </c>
      <c r="D156" s="17">
        <f t="shared" si="2"/>
        <v>407</v>
      </c>
      <c r="E156" s="17">
        <v>407</v>
      </c>
      <c r="F156" s="17">
        <v>407</v>
      </c>
    </row>
    <row r="157" spans="1:6" ht="15" customHeight="1" x14ac:dyDescent="0.25">
      <c r="A157" s="20">
        <v>36888</v>
      </c>
      <c r="B157" s="9" t="s">
        <v>1451</v>
      </c>
      <c r="C157" s="35" t="s">
        <v>970</v>
      </c>
      <c r="D157" s="17">
        <f t="shared" si="2"/>
        <v>13.18</v>
      </c>
      <c r="E157" s="17">
        <v>13.18</v>
      </c>
      <c r="F157" s="17">
        <v>13.18</v>
      </c>
    </row>
    <row r="158" spans="1:6" ht="15" customHeight="1" x14ac:dyDescent="0.25">
      <c r="A158" s="20">
        <v>36487</v>
      </c>
      <c r="B158" s="9" t="s">
        <v>1452</v>
      </c>
      <c r="C158" s="35" t="s">
        <v>979</v>
      </c>
      <c r="D158" s="17">
        <f t="shared" si="2"/>
        <v>4768.16</v>
      </c>
      <c r="E158" s="17">
        <v>4768.16</v>
      </c>
      <c r="F158" s="17">
        <v>4768.16</v>
      </c>
    </row>
    <row r="159" spans="1:6" ht="15" customHeight="1" x14ac:dyDescent="0.25">
      <c r="A159" s="20">
        <v>25954</v>
      </c>
      <c r="B159" s="9" t="s">
        <v>1453</v>
      </c>
      <c r="C159" s="35" t="s">
        <v>979</v>
      </c>
      <c r="D159" s="17">
        <f t="shared" si="2"/>
        <v>1836864.06</v>
      </c>
      <c r="E159" s="17">
        <v>1836864.06</v>
      </c>
      <c r="F159" s="17">
        <v>1836864.06</v>
      </c>
    </row>
    <row r="160" spans="1:6" ht="15" customHeight="1" x14ac:dyDescent="0.25">
      <c r="A160" s="16" t="s">
        <v>546</v>
      </c>
      <c r="B160" s="9" t="s">
        <v>1454</v>
      </c>
      <c r="C160" s="35" t="s">
        <v>979</v>
      </c>
      <c r="D160" s="17">
        <f t="shared" si="2"/>
        <v>29.6</v>
      </c>
      <c r="E160" s="17">
        <v>29.6</v>
      </c>
      <c r="F160" s="17">
        <v>29.6</v>
      </c>
    </row>
    <row r="161" spans="1:6" ht="15" customHeight="1" x14ac:dyDescent="0.25">
      <c r="A161" s="16" t="s">
        <v>563</v>
      </c>
      <c r="B161" s="9" t="s">
        <v>1455</v>
      </c>
      <c r="C161" s="35" t="s">
        <v>979</v>
      </c>
      <c r="D161" s="17">
        <f t="shared" si="2"/>
        <v>29.6</v>
      </c>
      <c r="E161" s="17">
        <v>29.6</v>
      </c>
      <c r="F161" s="17">
        <v>29.6</v>
      </c>
    </row>
    <row r="162" spans="1:6" ht="15" customHeight="1" x14ac:dyDescent="0.25">
      <c r="A162" s="20">
        <v>12773</v>
      </c>
      <c r="B162" s="9" t="s">
        <v>1456</v>
      </c>
      <c r="C162" s="35" t="s">
        <v>979</v>
      </c>
      <c r="D162" s="17">
        <f t="shared" si="2"/>
        <v>99.3</v>
      </c>
      <c r="E162" s="17">
        <v>99.3</v>
      </c>
      <c r="F162" s="17">
        <v>99.3</v>
      </c>
    </row>
    <row r="163" spans="1:6" ht="15" customHeight="1" x14ac:dyDescent="0.25">
      <c r="A163" s="20">
        <v>12873</v>
      </c>
      <c r="B163" s="9" t="s">
        <v>1457</v>
      </c>
      <c r="C163" s="35" t="s">
        <v>981</v>
      </c>
      <c r="D163" s="17">
        <f t="shared" si="2"/>
        <v>14.93</v>
      </c>
      <c r="E163" s="17">
        <v>12.9</v>
      </c>
      <c r="F163" s="17">
        <v>14.93</v>
      </c>
    </row>
    <row r="164" spans="1:6" ht="15" customHeight="1" x14ac:dyDescent="0.25">
      <c r="A164" s="16" t="s">
        <v>825</v>
      </c>
      <c r="B164" s="9" t="s">
        <v>1458</v>
      </c>
      <c r="C164" s="35" t="s">
        <v>976</v>
      </c>
      <c r="D164" s="17">
        <f t="shared" si="2"/>
        <v>5.44</v>
      </c>
      <c r="E164" s="17">
        <v>5.44</v>
      </c>
      <c r="F164" s="17">
        <v>5.44</v>
      </c>
    </row>
    <row r="165" spans="1:6" ht="15" customHeight="1" x14ac:dyDescent="0.25">
      <c r="A165" s="20">
        <v>38113</v>
      </c>
      <c r="B165" s="9" t="s">
        <v>1459</v>
      </c>
      <c r="C165" s="35" t="s">
        <v>979</v>
      </c>
      <c r="D165" s="17">
        <f t="shared" si="2"/>
        <v>8.76</v>
      </c>
      <c r="E165" s="17">
        <v>8.76</v>
      </c>
      <c r="F165" s="17">
        <v>8.76</v>
      </c>
    </row>
    <row r="166" spans="1:6" ht="15" customHeight="1" x14ac:dyDescent="0.25">
      <c r="A166" s="20">
        <v>38112</v>
      </c>
      <c r="B166" s="9" t="s">
        <v>1460</v>
      </c>
      <c r="C166" s="35" t="s">
        <v>979</v>
      </c>
      <c r="D166" s="17">
        <f t="shared" si="2"/>
        <v>6.73</v>
      </c>
      <c r="E166" s="17">
        <v>6.73</v>
      </c>
      <c r="F166" s="17">
        <v>6.73</v>
      </c>
    </row>
    <row r="167" spans="1:6" ht="15" customHeight="1" x14ac:dyDescent="0.25">
      <c r="A167" s="20">
        <v>3398</v>
      </c>
      <c r="B167" s="9" t="s">
        <v>1461</v>
      </c>
      <c r="C167" s="35" t="s">
        <v>979</v>
      </c>
      <c r="D167" s="17">
        <f t="shared" si="2"/>
        <v>3.81</v>
      </c>
      <c r="E167" s="17">
        <v>3.81</v>
      </c>
      <c r="F167" s="17">
        <v>3.81</v>
      </c>
    </row>
    <row r="168" spans="1:6" ht="15" customHeight="1" x14ac:dyDescent="0.25">
      <c r="A168" s="16" t="s">
        <v>398</v>
      </c>
      <c r="B168" s="9" t="s">
        <v>1462</v>
      </c>
      <c r="C168" s="35" t="s">
        <v>219</v>
      </c>
      <c r="D168" s="17">
        <f t="shared" si="2"/>
        <v>337.1</v>
      </c>
      <c r="E168" s="17">
        <v>337.1</v>
      </c>
      <c r="F168" s="17">
        <v>337.1</v>
      </c>
    </row>
    <row r="169" spans="1:6" ht="15" customHeight="1" x14ac:dyDescent="0.25">
      <c r="A169" s="20">
        <v>25964</v>
      </c>
      <c r="B169" s="9" t="s">
        <v>1463</v>
      </c>
      <c r="C169" s="35" t="s">
        <v>981</v>
      </c>
      <c r="D169" s="17">
        <f t="shared" si="2"/>
        <v>14.44</v>
      </c>
      <c r="E169" s="17">
        <v>12.48</v>
      </c>
      <c r="F169" s="17">
        <v>14.44</v>
      </c>
    </row>
    <row r="170" spans="1:6" ht="15" customHeight="1" x14ac:dyDescent="0.25">
      <c r="A170" s="16" t="s">
        <v>512</v>
      </c>
      <c r="B170" s="9" t="s">
        <v>1464</v>
      </c>
      <c r="C170" s="35" t="s">
        <v>979</v>
      </c>
      <c r="D170" s="17">
        <f t="shared" si="2"/>
        <v>6.81</v>
      </c>
      <c r="E170" s="17">
        <v>6.81</v>
      </c>
      <c r="F170" s="17">
        <v>6.81</v>
      </c>
    </row>
    <row r="171" spans="1:6" ht="15" customHeight="1" x14ac:dyDescent="0.25">
      <c r="A171" s="20">
        <v>3529</v>
      </c>
      <c r="B171" s="9" t="s">
        <v>1465</v>
      </c>
      <c r="C171" s="35" t="s">
        <v>979</v>
      </c>
      <c r="D171" s="17">
        <f t="shared" si="2"/>
        <v>0.81</v>
      </c>
      <c r="E171" s="17">
        <v>0.81</v>
      </c>
      <c r="F171" s="17">
        <v>0.81</v>
      </c>
    </row>
    <row r="172" spans="1:6" ht="15" customHeight="1" x14ac:dyDescent="0.25">
      <c r="A172" s="20">
        <v>3516</v>
      </c>
      <c r="B172" s="9" t="s">
        <v>1466</v>
      </c>
      <c r="C172" s="35" t="s">
        <v>979</v>
      </c>
      <c r="D172" s="17">
        <f t="shared" si="2"/>
        <v>1</v>
      </c>
      <c r="E172" s="17">
        <v>1</v>
      </c>
      <c r="F172" s="17">
        <v>1</v>
      </c>
    </row>
    <row r="173" spans="1:6" ht="15" customHeight="1" x14ac:dyDescent="0.25">
      <c r="A173" s="20">
        <v>3517</v>
      </c>
      <c r="B173" s="9" t="s">
        <v>1467</v>
      </c>
      <c r="C173" s="35" t="s">
        <v>979</v>
      </c>
      <c r="D173" s="17">
        <f t="shared" si="2"/>
        <v>3.49</v>
      </c>
      <c r="E173" s="17">
        <v>3.49</v>
      </c>
      <c r="F173" s="17">
        <v>3.49</v>
      </c>
    </row>
    <row r="174" spans="1:6" ht="15" customHeight="1" x14ac:dyDescent="0.25">
      <c r="A174" s="20">
        <v>3524</v>
      </c>
      <c r="B174" s="9" t="s">
        <v>1468</v>
      </c>
      <c r="C174" s="35" t="s">
        <v>979</v>
      </c>
      <c r="D174" s="17">
        <f t="shared" si="2"/>
        <v>8</v>
      </c>
      <c r="E174" s="17">
        <v>8</v>
      </c>
      <c r="F174" s="17">
        <v>8</v>
      </c>
    </row>
    <row r="175" spans="1:6" ht="15" customHeight="1" x14ac:dyDescent="0.25">
      <c r="A175" s="20">
        <v>3528</v>
      </c>
      <c r="B175" s="9" t="s">
        <v>1469</v>
      </c>
      <c r="C175" s="35" t="s">
        <v>979</v>
      </c>
      <c r="D175" s="17">
        <f t="shared" si="2"/>
        <v>7.89</v>
      </c>
      <c r="E175" s="17">
        <v>7.89</v>
      </c>
      <c r="F175" s="17">
        <v>7.89</v>
      </c>
    </row>
    <row r="176" spans="1:6" ht="15" customHeight="1" x14ac:dyDescent="0.25">
      <c r="A176" s="20">
        <v>3520</v>
      </c>
      <c r="B176" s="9" t="s">
        <v>1470</v>
      </c>
      <c r="C176" s="35" t="s">
        <v>979</v>
      </c>
      <c r="D176" s="17">
        <f t="shared" si="2"/>
        <v>7.95</v>
      </c>
      <c r="E176" s="17">
        <v>7.95</v>
      </c>
      <c r="F176" s="17">
        <v>7.95</v>
      </c>
    </row>
    <row r="177" spans="1:6" ht="15" customHeight="1" x14ac:dyDescent="0.25">
      <c r="A177" s="20">
        <v>10908</v>
      </c>
      <c r="B177" s="9" t="s">
        <v>1471</v>
      </c>
      <c r="C177" s="35" t="s">
        <v>979</v>
      </c>
      <c r="D177" s="17">
        <f t="shared" si="2"/>
        <v>16.66</v>
      </c>
      <c r="E177" s="17">
        <v>16.66</v>
      </c>
      <c r="F177" s="17">
        <v>16.66</v>
      </c>
    </row>
    <row r="178" spans="1:6" ht="15" customHeight="1" x14ac:dyDescent="0.25">
      <c r="A178" s="20">
        <v>3670</v>
      </c>
      <c r="B178" s="9" t="s">
        <v>1472</v>
      </c>
      <c r="C178" s="35" t="s">
        <v>979</v>
      </c>
      <c r="D178" s="17">
        <f t="shared" si="2"/>
        <v>20.68</v>
      </c>
      <c r="E178" s="17">
        <v>20.68</v>
      </c>
      <c r="F178" s="17">
        <v>20.68</v>
      </c>
    </row>
    <row r="179" spans="1:6" ht="15" customHeight="1" x14ac:dyDescent="0.25">
      <c r="A179" s="20">
        <v>12118</v>
      </c>
      <c r="B179" s="9" t="s">
        <v>1473</v>
      </c>
      <c r="C179" s="35" t="s">
        <v>979</v>
      </c>
      <c r="D179" s="17">
        <f t="shared" si="2"/>
        <v>22.15</v>
      </c>
      <c r="E179" s="17">
        <v>22.15</v>
      </c>
      <c r="F179" s="17">
        <v>22.15</v>
      </c>
    </row>
    <row r="180" spans="1:6" ht="15" customHeight="1" x14ac:dyDescent="0.25">
      <c r="A180" s="16" t="s">
        <v>314</v>
      </c>
      <c r="B180" s="9" t="s">
        <v>1474</v>
      </c>
      <c r="C180" s="35" t="s">
        <v>979</v>
      </c>
      <c r="D180" s="17">
        <f t="shared" si="2"/>
        <v>0.82</v>
      </c>
      <c r="E180" s="17">
        <v>0.82</v>
      </c>
      <c r="F180" s="17">
        <v>0.82</v>
      </c>
    </row>
    <row r="181" spans="1:6" ht="15" customHeight="1" x14ac:dyDescent="0.25">
      <c r="A181" s="16" t="s">
        <v>444</v>
      </c>
      <c r="B181" s="9" t="s">
        <v>1475</v>
      </c>
      <c r="C181" s="35" t="s">
        <v>979</v>
      </c>
      <c r="D181" s="17">
        <f t="shared" si="2"/>
        <v>185.47</v>
      </c>
      <c r="E181" s="17">
        <v>185.47</v>
      </c>
      <c r="F181" s="17">
        <v>185.47</v>
      </c>
    </row>
    <row r="182" spans="1:6" ht="15" customHeight="1" x14ac:dyDescent="0.25">
      <c r="A182" s="20">
        <v>39387</v>
      </c>
      <c r="B182" s="9" t="s">
        <v>1476</v>
      </c>
      <c r="C182" s="35" t="s">
        <v>979</v>
      </c>
      <c r="D182" s="17">
        <f t="shared" si="2"/>
        <v>19.170000000000002</v>
      </c>
      <c r="E182" s="17">
        <v>19.170000000000002</v>
      </c>
      <c r="F182" s="17">
        <v>19.170000000000002</v>
      </c>
    </row>
    <row r="183" spans="1:6" ht="15" customHeight="1" x14ac:dyDescent="0.25">
      <c r="A183" s="16" t="s">
        <v>533</v>
      </c>
      <c r="B183" s="9" t="s">
        <v>1477</v>
      </c>
      <c r="C183" s="35" t="s">
        <v>979</v>
      </c>
      <c r="D183" s="17">
        <f t="shared" si="2"/>
        <v>32.25</v>
      </c>
      <c r="E183" s="17">
        <v>32.25</v>
      </c>
      <c r="F183" s="17">
        <v>32.25</v>
      </c>
    </row>
    <row r="184" spans="1:6" ht="15" customHeight="1" x14ac:dyDescent="0.25">
      <c r="A184" s="20">
        <v>38383</v>
      </c>
      <c r="B184" s="9" t="s">
        <v>1478</v>
      </c>
      <c r="C184" s="35" t="s">
        <v>979</v>
      </c>
      <c r="D184" s="17">
        <f t="shared" si="2"/>
        <v>2.06</v>
      </c>
      <c r="E184" s="17">
        <v>2.06</v>
      </c>
      <c r="F184" s="17">
        <v>2.06</v>
      </c>
    </row>
    <row r="185" spans="1:6" ht="15" customHeight="1" x14ac:dyDescent="0.25">
      <c r="A185" s="20">
        <v>3768</v>
      </c>
      <c r="B185" s="9" t="s">
        <v>1479</v>
      </c>
      <c r="C185" s="35" t="s">
        <v>979</v>
      </c>
      <c r="D185" s="17">
        <f t="shared" si="2"/>
        <v>2.75</v>
      </c>
      <c r="E185" s="17">
        <v>2.75</v>
      </c>
      <c r="F185" s="17">
        <v>2.75</v>
      </c>
    </row>
    <row r="186" spans="1:6" ht="15" customHeight="1" x14ac:dyDescent="0.25">
      <c r="A186" s="20">
        <v>3767</v>
      </c>
      <c r="B186" s="9" t="s">
        <v>1480</v>
      </c>
      <c r="C186" s="35" t="s">
        <v>979</v>
      </c>
      <c r="D186" s="17">
        <f t="shared" si="2"/>
        <v>0.65</v>
      </c>
      <c r="E186" s="17">
        <v>0.65</v>
      </c>
      <c r="F186" s="17">
        <v>0.65</v>
      </c>
    </row>
    <row r="187" spans="1:6" ht="15" customHeight="1" x14ac:dyDescent="0.25">
      <c r="A187" s="20">
        <v>40271</v>
      </c>
      <c r="B187" s="9" t="s">
        <v>1481</v>
      </c>
      <c r="C187" s="35" t="s">
        <v>1482</v>
      </c>
      <c r="D187" s="17">
        <f t="shared" si="2"/>
        <v>4.58</v>
      </c>
      <c r="E187" s="17">
        <v>4.58</v>
      </c>
      <c r="F187" s="17">
        <v>4.58</v>
      </c>
    </row>
    <row r="188" spans="1:6" ht="15" customHeight="1" x14ac:dyDescent="0.25">
      <c r="A188" s="20">
        <v>40287</v>
      </c>
      <c r="B188" s="9" t="s">
        <v>1483</v>
      </c>
      <c r="C188" s="35" t="s">
        <v>1482</v>
      </c>
      <c r="D188" s="17">
        <f t="shared" si="2"/>
        <v>1.76</v>
      </c>
      <c r="E188" s="17">
        <v>1.76</v>
      </c>
      <c r="F188" s="17">
        <v>1.76</v>
      </c>
    </row>
    <row r="189" spans="1:6" ht="15" customHeight="1" x14ac:dyDescent="0.25">
      <c r="A189" s="16" t="s">
        <v>495</v>
      </c>
      <c r="B189" s="9" t="s">
        <v>1484</v>
      </c>
      <c r="C189" s="35" t="s">
        <v>979</v>
      </c>
      <c r="D189" s="17">
        <f t="shared" si="2"/>
        <v>250</v>
      </c>
      <c r="E189" s="17">
        <v>250</v>
      </c>
      <c r="F189" s="17">
        <v>250</v>
      </c>
    </row>
    <row r="190" spans="1:6" ht="15" customHeight="1" x14ac:dyDescent="0.25">
      <c r="A190" s="20">
        <v>10749</v>
      </c>
      <c r="B190" s="9" t="s">
        <v>1485</v>
      </c>
      <c r="C190" s="35" t="s">
        <v>1482</v>
      </c>
      <c r="D190" s="17">
        <f t="shared" si="2"/>
        <v>3.23</v>
      </c>
      <c r="E190" s="17">
        <v>3.23</v>
      </c>
      <c r="F190" s="17">
        <v>3.23</v>
      </c>
    </row>
    <row r="191" spans="1:6" ht="15" customHeight="1" x14ac:dyDescent="0.25">
      <c r="A191" s="20">
        <v>40275</v>
      </c>
      <c r="B191" s="9" t="s">
        <v>1486</v>
      </c>
      <c r="C191" s="35" t="s">
        <v>1482</v>
      </c>
      <c r="D191" s="17">
        <f t="shared" si="2"/>
        <v>7.05</v>
      </c>
      <c r="E191" s="17">
        <v>7.05</v>
      </c>
      <c r="F191" s="17">
        <v>7.05</v>
      </c>
    </row>
    <row r="192" spans="1:6" ht="15" customHeight="1" x14ac:dyDescent="0.25">
      <c r="A192" s="20">
        <v>3777</v>
      </c>
      <c r="B192" s="9" t="s">
        <v>1487</v>
      </c>
      <c r="C192" s="35" t="s">
        <v>219</v>
      </c>
      <c r="D192" s="17">
        <f t="shared" si="2"/>
        <v>1.25</v>
      </c>
      <c r="E192" s="17">
        <v>1.25</v>
      </c>
      <c r="F192" s="17">
        <v>1.25</v>
      </c>
    </row>
    <row r="193" spans="1:6" ht="15" customHeight="1" x14ac:dyDescent="0.25">
      <c r="A193" s="16" t="s">
        <v>483</v>
      </c>
      <c r="B193" s="9" t="s">
        <v>1488</v>
      </c>
      <c r="C193" s="35" t="s">
        <v>979</v>
      </c>
      <c r="D193" s="17">
        <f t="shared" si="2"/>
        <v>26.67</v>
      </c>
      <c r="E193" s="17">
        <v>26.67</v>
      </c>
      <c r="F193" s="17">
        <v>26.67</v>
      </c>
    </row>
    <row r="194" spans="1:6" ht="15" customHeight="1" x14ac:dyDescent="0.25">
      <c r="A194" s="20">
        <v>3869</v>
      </c>
      <c r="B194" s="9" t="s">
        <v>1489</v>
      </c>
      <c r="C194" s="35" t="s">
        <v>979</v>
      </c>
      <c r="D194" s="17">
        <f t="shared" ref="D194:D257" si="3">IF(ONERA="COM DESONERAÇÃO",E194,F194)</f>
        <v>4.0599999999999996</v>
      </c>
      <c r="E194" s="17">
        <v>4.0599999999999996</v>
      </c>
      <c r="F194" s="17">
        <v>4.0599999999999996</v>
      </c>
    </row>
    <row r="195" spans="1:6" ht="15" customHeight="1" x14ac:dyDescent="0.25">
      <c r="A195" s="20">
        <v>1891</v>
      </c>
      <c r="B195" s="9" t="s">
        <v>1490</v>
      </c>
      <c r="C195" s="35" t="s">
        <v>979</v>
      </c>
      <c r="D195" s="17">
        <f t="shared" si="3"/>
        <v>1.1100000000000001</v>
      </c>
      <c r="E195" s="17">
        <v>1.1100000000000001</v>
      </c>
      <c r="F195" s="17">
        <v>1.1100000000000001</v>
      </c>
    </row>
    <row r="196" spans="1:6" ht="15" customHeight="1" x14ac:dyDescent="0.25">
      <c r="A196" s="20">
        <v>3904</v>
      </c>
      <c r="B196" s="9" t="s">
        <v>1491</v>
      </c>
      <c r="C196" s="35" t="s">
        <v>979</v>
      </c>
      <c r="D196" s="17">
        <f t="shared" si="3"/>
        <v>0.86</v>
      </c>
      <c r="E196" s="17">
        <v>0.86</v>
      </c>
      <c r="F196" s="17">
        <v>0.86</v>
      </c>
    </row>
    <row r="197" spans="1:6" ht="15" customHeight="1" x14ac:dyDescent="0.25">
      <c r="A197" s="20">
        <v>12892</v>
      </c>
      <c r="B197" s="9" t="s">
        <v>1492</v>
      </c>
      <c r="C197" s="35" t="s">
        <v>1342</v>
      </c>
      <c r="D197" s="17">
        <f t="shared" si="3"/>
        <v>12.91</v>
      </c>
      <c r="E197" s="17">
        <v>12.91</v>
      </c>
      <c r="F197" s="17">
        <v>12.91</v>
      </c>
    </row>
    <row r="198" spans="1:6" ht="15" customHeight="1" x14ac:dyDescent="0.25">
      <c r="A198" s="20">
        <v>3899</v>
      </c>
      <c r="B198" s="9" t="s">
        <v>1493</v>
      </c>
      <c r="C198" s="35" t="s">
        <v>979</v>
      </c>
      <c r="D198" s="17">
        <f t="shared" si="3"/>
        <v>6.06</v>
      </c>
      <c r="E198" s="17">
        <v>6.06</v>
      </c>
      <c r="F198" s="17">
        <v>6.06</v>
      </c>
    </row>
    <row r="199" spans="1:6" ht="15" customHeight="1" x14ac:dyDescent="0.25">
      <c r="A199" s="16" t="s">
        <v>665</v>
      </c>
      <c r="B199" s="9" t="s">
        <v>1494</v>
      </c>
      <c r="C199" s="35" t="s">
        <v>970</v>
      </c>
      <c r="D199" s="17">
        <f t="shared" si="3"/>
        <v>10.39</v>
      </c>
      <c r="E199" s="17">
        <v>10.39</v>
      </c>
      <c r="F199" s="17">
        <v>10.39</v>
      </c>
    </row>
    <row r="200" spans="1:6" ht="15" customHeight="1" x14ac:dyDescent="0.25">
      <c r="A200" s="20">
        <v>626</v>
      </c>
      <c r="B200" s="9" t="s">
        <v>1495</v>
      </c>
      <c r="C200" s="35" t="s">
        <v>976</v>
      </c>
      <c r="D200" s="17">
        <f t="shared" si="3"/>
        <v>20.170000000000002</v>
      </c>
      <c r="E200" s="17">
        <v>20.170000000000002</v>
      </c>
      <c r="F200" s="17">
        <v>20.170000000000002</v>
      </c>
    </row>
    <row r="201" spans="1:6" ht="15" customHeight="1" x14ac:dyDescent="0.25">
      <c r="A201" s="20">
        <v>4755</v>
      </c>
      <c r="B201" s="9" t="s">
        <v>1496</v>
      </c>
      <c r="C201" s="35" t="s">
        <v>981</v>
      </c>
      <c r="D201" s="17">
        <f t="shared" si="3"/>
        <v>17.18</v>
      </c>
      <c r="E201" s="17">
        <v>14.85</v>
      </c>
      <c r="F201" s="17">
        <v>17.18</v>
      </c>
    </row>
    <row r="202" spans="1:6" ht="15" customHeight="1" x14ac:dyDescent="0.25">
      <c r="A202" s="16" t="s">
        <v>524</v>
      </c>
      <c r="B202" s="9" t="s">
        <v>1497</v>
      </c>
      <c r="C202" s="35" t="s">
        <v>979</v>
      </c>
      <c r="D202" s="17">
        <f t="shared" si="3"/>
        <v>27.5</v>
      </c>
      <c r="E202" s="17">
        <v>27.5</v>
      </c>
      <c r="F202" s="17">
        <v>27.5</v>
      </c>
    </row>
    <row r="203" spans="1:6" ht="15" customHeight="1" x14ac:dyDescent="0.25">
      <c r="A203" s="16" t="s">
        <v>626</v>
      </c>
      <c r="B203" s="9" t="s">
        <v>1498</v>
      </c>
      <c r="C203" s="35" t="s">
        <v>979</v>
      </c>
      <c r="D203" s="17">
        <f t="shared" si="3"/>
        <v>13.52</v>
      </c>
      <c r="E203" s="17">
        <v>13.52</v>
      </c>
      <c r="F203" s="17">
        <v>13.52</v>
      </c>
    </row>
    <row r="204" spans="1:6" ht="15" customHeight="1" x14ac:dyDescent="0.25">
      <c r="A204" s="16" t="s">
        <v>802</v>
      </c>
      <c r="B204" s="9" t="s">
        <v>1499</v>
      </c>
      <c r="C204" s="35" t="s">
        <v>979</v>
      </c>
      <c r="D204" s="17">
        <f t="shared" si="3"/>
        <v>37.9</v>
      </c>
      <c r="E204" s="17">
        <v>37.9</v>
      </c>
      <c r="F204" s="17">
        <v>37.9</v>
      </c>
    </row>
    <row r="205" spans="1:6" ht="15" customHeight="1" x14ac:dyDescent="0.25">
      <c r="A205" s="16" t="s">
        <v>627</v>
      </c>
      <c r="B205" s="9" t="s">
        <v>1500</v>
      </c>
      <c r="C205" s="35" t="s">
        <v>979</v>
      </c>
      <c r="D205" s="17">
        <f t="shared" si="3"/>
        <v>11.5</v>
      </c>
      <c r="E205" s="17">
        <v>11.5</v>
      </c>
      <c r="F205" s="17">
        <v>11.5</v>
      </c>
    </row>
    <row r="206" spans="1:6" ht="15" customHeight="1" x14ac:dyDescent="0.25">
      <c r="A206" s="16" t="s">
        <v>622</v>
      </c>
      <c r="B206" s="9" t="s">
        <v>1501</v>
      </c>
      <c r="C206" s="35" t="s">
        <v>979</v>
      </c>
      <c r="D206" s="17">
        <f t="shared" si="3"/>
        <v>16.55</v>
      </c>
      <c r="E206" s="17">
        <v>16.55</v>
      </c>
      <c r="F206" s="17">
        <v>16.55</v>
      </c>
    </row>
    <row r="207" spans="1:6" ht="15" customHeight="1" x14ac:dyDescent="0.25">
      <c r="A207" s="16" t="s">
        <v>389</v>
      </c>
      <c r="B207" s="9" t="s">
        <v>1502</v>
      </c>
      <c r="C207" s="35" t="s">
        <v>976</v>
      </c>
      <c r="D207" s="17">
        <f t="shared" si="3"/>
        <v>8.41</v>
      </c>
      <c r="E207" s="17">
        <v>8.41</v>
      </c>
      <c r="F207" s="17">
        <v>8.41</v>
      </c>
    </row>
    <row r="208" spans="1:6" ht="15" customHeight="1" x14ac:dyDescent="0.25">
      <c r="A208" s="20">
        <v>10498</v>
      </c>
      <c r="B208" s="9" t="s">
        <v>1503</v>
      </c>
      <c r="C208" s="35" t="s">
        <v>976</v>
      </c>
      <c r="D208" s="17">
        <f t="shared" si="3"/>
        <v>9.32</v>
      </c>
      <c r="E208" s="17">
        <v>9.32</v>
      </c>
      <c r="F208" s="17">
        <v>9.32</v>
      </c>
    </row>
    <row r="209" spans="1:6" ht="15" customHeight="1" x14ac:dyDescent="0.25">
      <c r="A209" s="20">
        <v>4069</v>
      </c>
      <c r="B209" s="9" t="s">
        <v>1504</v>
      </c>
      <c r="C209" s="35" t="s">
        <v>981</v>
      </c>
      <c r="D209" s="17">
        <f t="shared" si="3"/>
        <v>35.47</v>
      </c>
      <c r="E209" s="17">
        <v>30.65</v>
      </c>
      <c r="F209" s="17">
        <v>35.47</v>
      </c>
    </row>
    <row r="210" spans="1:6" ht="15" customHeight="1" x14ac:dyDescent="0.25">
      <c r="A210" s="20">
        <v>25957</v>
      </c>
      <c r="B210" s="9" t="s">
        <v>1505</v>
      </c>
      <c r="C210" s="35" t="s">
        <v>981</v>
      </c>
      <c r="D210" s="17">
        <f t="shared" si="3"/>
        <v>16.82</v>
      </c>
      <c r="E210" s="17">
        <v>14.54</v>
      </c>
      <c r="F210" s="17">
        <v>16.82</v>
      </c>
    </row>
    <row r="211" spans="1:6" ht="15" customHeight="1" x14ac:dyDescent="0.25">
      <c r="A211" s="20">
        <v>4093</v>
      </c>
      <c r="B211" s="9" t="s">
        <v>1506</v>
      </c>
      <c r="C211" s="35" t="s">
        <v>981</v>
      </c>
      <c r="D211" s="17">
        <f t="shared" si="3"/>
        <v>18.28</v>
      </c>
      <c r="E211" s="17">
        <v>15.8</v>
      </c>
      <c r="F211" s="17">
        <v>18.28</v>
      </c>
    </row>
    <row r="212" spans="1:6" ht="15" customHeight="1" x14ac:dyDescent="0.25">
      <c r="A212" s="16" t="s">
        <v>620</v>
      </c>
      <c r="B212" s="9" t="s">
        <v>1507</v>
      </c>
      <c r="C212" s="35" t="s">
        <v>979</v>
      </c>
      <c r="D212" s="17">
        <f t="shared" si="3"/>
        <v>15.9</v>
      </c>
      <c r="E212" s="17">
        <v>15.9</v>
      </c>
      <c r="F212" s="17">
        <v>15.9</v>
      </c>
    </row>
    <row r="213" spans="1:6" ht="15" customHeight="1" x14ac:dyDescent="0.25">
      <c r="A213" s="16" t="s">
        <v>521</v>
      </c>
      <c r="B213" s="9" t="s">
        <v>1508</v>
      </c>
      <c r="C213" s="35" t="s">
        <v>1509</v>
      </c>
      <c r="D213" s="17">
        <f t="shared" si="3"/>
        <v>5.9</v>
      </c>
      <c r="E213" s="17">
        <v>5.9</v>
      </c>
      <c r="F213" s="17">
        <v>5.9</v>
      </c>
    </row>
    <row r="214" spans="1:6" ht="15" customHeight="1" x14ac:dyDescent="0.25">
      <c r="A214" s="20">
        <v>4221</v>
      </c>
      <c r="B214" s="9" t="s">
        <v>1510</v>
      </c>
      <c r="C214" s="35" t="s">
        <v>870</v>
      </c>
      <c r="D214" s="17">
        <f t="shared" si="3"/>
        <v>4.6900000000000004</v>
      </c>
      <c r="E214" s="17">
        <v>4.6900000000000004</v>
      </c>
      <c r="F214" s="17">
        <v>4.6900000000000004</v>
      </c>
    </row>
    <row r="215" spans="1:6" ht="15" customHeight="1" x14ac:dyDescent="0.25">
      <c r="A215" s="20">
        <v>37666</v>
      </c>
      <c r="B215" s="9" t="s">
        <v>1511</v>
      </c>
      <c r="C215" s="35" t="s">
        <v>981</v>
      </c>
      <c r="D215" s="17">
        <f t="shared" si="3"/>
        <v>15.91</v>
      </c>
      <c r="E215" s="17">
        <v>13.75</v>
      </c>
      <c r="F215" s="17">
        <v>15.91</v>
      </c>
    </row>
    <row r="216" spans="1:6" ht="15" customHeight="1" x14ac:dyDescent="0.25">
      <c r="A216" s="20">
        <v>4253</v>
      </c>
      <c r="B216" s="9" t="s">
        <v>1512</v>
      </c>
      <c r="C216" s="35" t="s">
        <v>981</v>
      </c>
      <c r="D216" s="17">
        <f t="shared" si="3"/>
        <v>19.05</v>
      </c>
      <c r="E216" s="17">
        <v>16.46</v>
      </c>
      <c r="F216" s="17">
        <v>19.05</v>
      </c>
    </row>
    <row r="217" spans="1:6" ht="15" customHeight="1" x14ac:dyDescent="0.25">
      <c r="A217" s="20">
        <v>4254</v>
      </c>
      <c r="B217" s="9" t="s">
        <v>1513</v>
      </c>
      <c r="C217" s="35" t="s">
        <v>981</v>
      </c>
      <c r="D217" s="17">
        <f t="shared" si="3"/>
        <v>19.64</v>
      </c>
      <c r="E217" s="17">
        <v>16.98</v>
      </c>
      <c r="F217" s="17">
        <v>19.64</v>
      </c>
    </row>
    <row r="218" spans="1:6" ht="15" customHeight="1" x14ac:dyDescent="0.25">
      <c r="A218" s="20">
        <v>4230</v>
      </c>
      <c r="B218" s="9" t="s">
        <v>1514</v>
      </c>
      <c r="C218" s="35" t="s">
        <v>981</v>
      </c>
      <c r="D218" s="17">
        <f t="shared" si="3"/>
        <v>21.06</v>
      </c>
      <c r="E218" s="17">
        <v>18.2</v>
      </c>
      <c r="F218" s="17">
        <v>21.06</v>
      </c>
    </row>
    <row r="219" spans="1:6" ht="15" customHeight="1" x14ac:dyDescent="0.25">
      <c r="A219" s="16" t="s">
        <v>531</v>
      </c>
      <c r="B219" s="9" t="s">
        <v>1515</v>
      </c>
      <c r="C219" s="35" t="s">
        <v>979</v>
      </c>
      <c r="D219" s="17">
        <f t="shared" si="3"/>
        <v>17.29</v>
      </c>
      <c r="E219" s="17">
        <v>17.29</v>
      </c>
      <c r="F219" s="17">
        <v>17.29</v>
      </c>
    </row>
    <row r="220" spans="1:6" ht="15" customHeight="1" x14ac:dyDescent="0.25">
      <c r="A220" s="16" t="s">
        <v>513</v>
      </c>
      <c r="B220" s="9" t="s">
        <v>1516</v>
      </c>
      <c r="C220" s="35" t="s">
        <v>979</v>
      </c>
      <c r="D220" s="17">
        <f t="shared" si="3"/>
        <v>3.73</v>
      </c>
      <c r="E220" s="17">
        <v>3.73</v>
      </c>
      <c r="F220" s="17">
        <v>3.73</v>
      </c>
    </row>
    <row r="221" spans="1:6" ht="15" customHeight="1" x14ac:dyDescent="0.25">
      <c r="A221" s="20">
        <v>39443</v>
      </c>
      <c r="B221" s="9" t="s">
        <v>1517</v>
      </c>
      <c r="C221" s="35" t="s">
        <v>979</v>
      </c>
      <c r="D221" s="17">
        <f t="shared" si="3"/>
        <v>0.14000000000000001</v>
      </c>
      <c r="E221" s="17">
        <v>0.14000000000000001</v>
      </c>
      <c r="F221" s="17">
        <v>0.14000000000000001</v>
      </c>
    </row>
    <row r="222" spans="1:6" ht="15" customHeight="1" x14ac:dyDescent="0.25">
      <c r="A222" s="20">
        <v>4344</v>
      </c>
      <c r="B222" s="9" t="s">
        <v>1518</v>
      </c>
      <c r="C222" s="35" t="s">
        <v>979</v>
      </c>
      <c r="D222" s="17">
        <f t="shared" si="3"/>
        <v>12.32</v>
      </c>
      <c r="E222" s="17">
        <v>12.32</v>
      </c>
      <c r="F222" s="17">
        <v>12.32</v>
      </c>
    </row>
    <row r="223" spans="1:6" ht="15" customHeight="1" x14ac:dyDescent="0.25">
      <c r="A223" s="20">
        <v>4384</v>
      </c>
      <c r="B223" s="9" t="s">
        <v>1519</v>
      </c>
      <c r="C223" s="35" t="s">
        <v>979</v>
      </c>
      <c r="D223" s="17">
        <f t="shared" si="3"/>
        <v>13.5</v>
      </c>
      <c r="E223" s="17">
        <v>13.5</v>
      </c>
      <c r="F223" s="17">
        <v>13.5</v>
      </c>
    </row>
    <row r="224" spans="1:6" ht="15" customHeight="1" x14ac:dyDescent="0.25">
      <c r="A224" s="20">
        <v>40547</v>
      </c>
      <c r="B224" s="9" t="s">
        <v>1520</v>
      </c>
      <c r="C224" s="35" t="s">
        <v>1521</v>
      </c>
      <c r="D224" s="17">
        <f t="shared" si="3"/>
        <v>16.41</v>
      </c>
      <c r="E224" s="17">
        <v>16.41</v>
      </c>
      <c r="F224" s="17">
        <v>16.41</v>
      </c>
    </row>
    <row r="225" spans="1:6" ht="15" customHeight="1" x14ac:dyDescent="0.25">
      <c r="A225" s="20">
        <v>40552</v>
      </c>
      <c r="B225" s="9" t="s">
        <v>1522</v>
      </c>
      <c r="C225" s="35" t="s">
        <v>1521</v>
      </c>
      <c r="D225" s="17">
        <f t="shared" si="3"/>
        <v>28.13</v>
      </c>
      <c r="E225" s="17">
        <v>28.13</v>
      </c>
      <c r="F225" s="17">
        <v>28.13</v>
      </c>
    </row>
    <row r="226" spans="1:6" ht="15" customHeight="1" x14ac:dyDescent="0.25">
      <c r="A226" s="16" t="s">
        <v>422</v>
      </c>
      <c r="B226" s="9" t="s">
        <v>1523</v>
      </c>
      <c r="C226" s="35" t="s">
        <v>976</v>
      </c>
      <c r="D226" s="17">
        <f t="shared" si="3"/>
        <v>66.150000000000006</v>
      </c>
      <c r="E226" s="17">
        <v>66.150000000000006</v>
      </c>
      <c r="F226" s="17">
        <v>66.150000000000006</v>
      </c>
    </row>
    <row r="227" spans="1:6" ht="15" customHeight="1" x14ac:dyDescent="0.25">
      <c r="A227" s="20">
        <v>20078</v>
      </c>
      <c r="B227" s="9" t="s">
        <v>1524</v>
      </c>
      <c r="C227" s="35" t="s">
        <v>979</v>
      </c>
      <c r="D227" s="17">
        <f t="shared" si="3"/>
        <v>23.98</v>
      </c>
      <c r="E227" s="17">
        <v>23.98</v>
      </c>
      <c r="F227" s="17">
        <v>23.98</v>
      </c>
    </row>
    <row r="228" spans="1:6" ht="15" customHeight="1" x14ac:dyDescent="0.25">
      <c r="A228" s="20">
        <v>4721</v>
      </c>
      <c r="B228" s="9" t="s">
        <v>1525</v>
      </c>
      <c r="C228" s="35" t="s">
        <v>974</v>
      </c>
      <c r="D228" s="17">
        <f t="shared" si="3"/>
        <v>92.01</v>
      </c>
      <c r="E228" s="17">
        <v>92.01</v>
      </c>
      <c r="F228" s="17">
        <v>92.01</v>
      </c>
    </row>
    <row r="229" spans="1:6" ht="15" customHeight="1" x14ac:dyDescent="0.25">
      <c r="A229" s="20">
        <v>4718</v>
      </c>
      <c r="B229" s="9" t="s">
        <v>1526</v>
      </c>
      <c r="C229" s="35" t="s">
        <v>974</v>
      </c>
      <c r="D229" s="17">
        <f t="shared" si="3"/>
        <v>92.5</v>
      </c>
      <c r="E229" s="17">
        <v>92.5</v>
      </c>
      <c r="F229" s="17">
        <v>92.5</v>
      </c>
    </row>
    <row r="230" spans="1:6" ht="15" customHeight="1" x14ac:dyDescent="0.25">
      <c r="A230" s="16" t="s">
        <v>358</v>
      </c>
      <c r="B230" s="9" t="s">
        <v>1527</v>
      </c>
      <c r="C230" s="35" t="s">
        <v>974</v>
      </c>
      <c r="D230" s="17">
        <f t="shared" si="3"/>
        <v>66.06</v>
      </c>
      <c r="E230" s="17">
        <v>66.06</v>
      </c>
      <c r="F230" s="17">
        <v>66.06</v>
      </c>
    </row>
    <row r="231" spans="1:6" ht="15" customHeight="1" x14ac:dyDescent="0.25">
      <c r="A231" s="16" t="s">
        <v>354</v>
      </c>
      <c r="B231" s="9" t="s">
        <v>1528</v>
      </c>
      <c r="C231" s="35" t="s">
        <v>981</v>
      </c>
      <c r="D231" s="17">
        <f t="shared" si="3"/>
        <v>23.17</v>
      </c>
      <c r="E231" s="17">
        <v>23.17</v>
      </c>
      <c r="F231" s="17">
        <v>23.17</v>
      </c>
    </row>
    <row r="232" spans="1:6" ht="15" customHeight="1" x14ac:dyDescent="0.25">
      <c r="A232" s="20">
        <v>4750</v>
      </c>
      <c r="B232" s="9" t="s">
        <v>1528</v>
      </c>
      <c r="C232" s="35" t="s">
        <v>981</v>
      </c>
      <c r="D232" s="17">
        <f t="shared" si="3"/>
        <v>14.93</v>
      </c>
      <c r="E232" s="17">
        <v>12.9</v>
      </c>
      <c r="F232" s="17">
        <v>14.93</v>
      </c>
    </row>
    <row r="233" spans="1:6" ht="15" customHeight="1" x14ac:dyDescent="0.25">
      <c r="A233" s="20">
        <v>39430</v>
      </c>
      <c r="B233" s="9" t="s">
        <v>1529</v>
      </c>
      <c r="C233" s="35" t="s">
        <v>979</v>
      </c>
      <c r="D233" s="17">
        <f t="shared" si="3"/>
        <v>2.44</v>
      </c>
      <c r="E233" s="17">
        <v>2.44</v>
      </c>
      <c r="F233" s="17">
        <v>2.44</v>
      </c>
    </row>
    <row r="234" spans="1:6" ht="15" customHeight="1" x14ac:dyDescent="0.25">
      <c r="A234" s="16" t="s">
        <v>381</v>
      </c>
      <c r="B234" s="9" t="s">
        <v>1530</v>
      </c>
      <c r="C234" s="35" t="s">
        <v>970</v>
      </c>
      <c r="D234" s="17">
        <f t="shared" si="3"/>
        <v>11.29</v>
      </c>
      <c r="E234" s="17">
        <v>11.29</v>
      </c>
      <c r="F234" s="17">
        <v>11.29</v>
      </c>
    </row>
    <row r="235" spans="1:6" ht="15" customHeight="1" x14ac:dyDescent="0.25">
      <c r="A235" s="16" t="s">
        <v>458</v>
      </c>
      <c r="B235" s="9" t="s">
        <v>1531</v>
      </c>
      <c r="C235" s="35" t="s">
        <v>970</v>
      </c>
      <c r="D235" s="17">
        <f t="shared" si="3"/>
        <v>6.86</v>
      </c>
      <c r="E235" s="17">
        <v>6.86</v>
      </c>
      <c r="F235" s="17">
        <v>6.86</v>
      </c>
    </row>
    <row r="236" spans="1:6" ht="15" customHeight="1" x14ac:dyDescent="0.25">
      <c r="A236" s="20">
        <v>39427</v>
      </c>
      <c r="B236" s="9" t="s">
        <v>1532</v>
      </c>
      <c r="C236" s="35" t="s">
        <v>970</v>
      </c>
      <c r="D236" s="17">
        <f t="shared" si="3"/>
        <v>6.48</v>
      </c>
      <c r="E236" s="17">
        <v>6.48</v>
      </c>
      <c r="F236" s="17">
        <v>6.48</v>
      </c>
    </row>
    <row r="237" spans="1:6" ht="15" customHeight="1" x14ac:dyDescent="0.25">
      <c r="A237" s="16" t="s">
        <v>390</v>
      </c>
      <c r="B237" s="9" t="s">
        <v>1533</v>
      </c>
      <c r="C237" s="35" t="s">
        <v>976</v>
      </c>
      <c r="D237" s="17">
        <f t="shared" si="3"/>
        <v>28.81</v>
      </c>
      <c r="E237" s="17">
        <v>28.81</v>
      </c>
      <c r="F237" s="17">
        <v>28.81</v>
      </c>
    </row>
    <row r="238" spans="1:6" ht="15" customHeight="1" x14ac:dyDescent="0.25">
      <c r="A238" s="16" t="s">
        <v>635</v>
      </c>
      <c r="B238" s="9" t="s">
        <v>1534</v>
      </c>
      <c r="C238" s="35" t="s">
        <v>979</v>
      </c>
      <c r="D238" s="17">
        <f t="shared" si="3"/>
        <v>28.3</v>
      </c>
      <c r="E238" s="17">
        <v>28.3</v>
      </c>
      <c r="F238" s="17">
        <v>28.3</v>
      </c>
    </row>
    <row r="239" spans="1:6" ht="15" customHeight="1" x14ac:dyDescent="0.25">
      <c r="A239" s="20">
        <v>37395</v>
      </c>
      <c r="B239" s="9" t="s">
        <v>1535</v>
      </c>
      <c r="C239" s="35" t="s">
        <v>1521</v>
      </c>
      <c r="D239" s="17">
        <f t="shared" si="3"/>
        <v>38.39</v>
      </c>
      <c r="E239" s="17">
        <v>38.39</v>
      </c>
      <c r="F239" s="17">
        <v>38.39</v>
      </c>
    </row>
    <row r="240" spans="1:6" ht="15" customHeight="1" x14ac:dyDescent="0.25">
      <c r="A240" s="20">
        <v>4783</v>
      </c>
      <c r="B240" s="9" t="s">
        <v>1536</v>
      </c>
      <c r="C240" s="35" t="s">
        <v>981</v>
      </c>
      <c r="D240" s="17">
        <f t="shared" si="3"/>
        <v>14.93</v>
      </c>
      <c r="E240" s="17">
        <v>12.9</v>
      </c>
      <c r="F240" s="17">
        <v>14.93</v>
      </c>
    </row>
    <row r="241" spans="1:6" ht="15" customHeight="1" x14ac:dyDescent="0.25">
      <c r="A241" s="20">
        <v>1287</v>
      </c>
      <c r="B241" s="9" t="s">
        <v>1537</v>
      </c>
      <c r="C241" s="35" t="s">
        <v>219</v>
      </c>
      <c r="D241" s="17">
        <f t="shared" si="3"/>
        <v>34.909999999999997</v>
      </c>
      <c r="E241" s="17">
        <v>34.909999999999997</v>
      </c>
      <c r="F241" s="17">
        <v>34.909999999999997</v>
      </c>
    </row>
    <row r="242" spans="1:6" ht="15" customHeight="1" x14ac:dyDescent="0.25">
      <c r="A242" s="20">
        <v>4813</v>
      </c>
      <c r="B242" s="9" t="s">
        <v>1538</v>
      </c>
      <c r="C242" s="35" t="s">
        <v>219</v>
      </c>
      <c r="D242" s="17">
        <f t="shared" si="3"/>
        <v>225</v>
      </c>
      <c r="E242" s="17">
        <v>225</v>
      </c>
      <c r="F242" s="17">
        <v>225</v>
      </c>
    </row>
    <row r="243" spans="1:6" ht="15" customHeight="1" x14ac:dyDescent="0.25">
      <c r="A243" s="20">
        <v>4895</v>
      </c>
      <c r="B243" s="9" t="s">
        <v>1539</v>
      </c>
      <c r="C243" s="35" t="s">
        <v>979</v>
      </c>
      <c r="D243" s="17">
        <f t="shared" si="3"/>
        <v>0.6</v>
      </c>
      <c r="E243" s="17">
        <v>0.6</v>
      </c>
      <c r="F243" s="17">
        <v>0.6</v>
      </c>
    </row>
    <row r="244" spans="1:6" ht="15" customHeight="1" x14ac:dyDescent="0.25">
      <c r="A244" s="20">
        <v>4491</v>
      </c>
      <c r="B244" s="9" t="s">
        <v>1540</v>
      </c>
      <c r="C244" s="35" t="s">
        <v>970</v>
      </c>
      <c r="D244" s="17">
        <f t="shared" si="3"/>
        <v>6.67</v>
      </c>
      <c r="E244" s="17">
        <v>6.67</v>
      </c>
      <c r="F244" s="17">
        <v>6.67</v>
      </c>
    </row>
    <row r="245" spans="1:6" ht="15" customHeight="1" x14ac:dyDescent="0.25">
      <c r="A245" s="20">
        <v>39025</v>
      </c>
      <c r="B245" s="9" t="s">
        <v>1541</v>
      </c>
      <c r="C245" s="35" t="s">
        <v>979</v>
      </c>
      <c r="D245" s="17">
        <f t="shared" si="3"/>
        <v>757.19</v>
      </c>
      <c r="E245" s="17">
        <v>757.19</v>
      </c>
      <c r="F245" s="17">
        <v>757.19</v>
      </c>
    </row>
    <row r="246" spans="1:6" ht="15" customHeight="1" x14ac:dyDescent="0.25">
      <c r="A246" s="16" t="s">
        <v>394</v>
      </c>
      <c r="B246" s="9" t="s">
        <v>1238</v>
      </c>
      <c r="C246" s="35" t="s">
        <v>219</v>
      </c>
      <c r="D246" s="17">
        <f t="shared" si="3"/>
        <v>250</v>
      </c>
      <c r="E246" s="17">
        <v>250</v>
      </c>
      <c r="F246" s="17">
        <v>250</v>
      </c>
    </row>
    <row r="247" spans="1:6" ht="15" customHeight="1" x14ac:dyDescent="0.25">
      <c r="A247" s="16" t="s">
        <v>534</v>
      </c>
      <c r="B247" s="9" t="s">
        <v>1542</v>
      </c>
      <c r="C247" s="35" t="s">
        <v>979</v>
      </c>
      <c r="D247" s="17">
        <f t="shared" si="3"/>
        <v>19.57</v>
      </c>
      <c r="E247" s="17">
        <v>19.57</v>
      </c>
      <c r="F247" s="17">
        <v>19.57</v>
      </c>
    </row>
    <row r="248" spans="1:6" ht="15" customHeight="1" x14ac:dyDescent="0.25">
      <c r="A248" s="20">
        <v>20247</v>
      </c>
      <c r="B248" s="9" t="s">
        <v>1543</v>
      </c>
      <c r="C248" s="35" t="s">
        <v>976</v>
      </c>
      <c r="D248" s="17">
        <f t="shared" si="3"/>
        <v>21.4</v>
      </c>
      <c r="E248" s="17">
        <v>21.4</v>
      </c>
      <c r="F248" s="17">
        <v>21.4</v>
      </c>
    </row>
    <row r="249" spans="1:6" ht="15" customHeight="1" x14ac:dyDescent="0.25">
      <c r="A249" s="20">
        <v>5067</v>
      </c>
      <c r="B249" s="9" t="s">
        <v>1544</v>
      </c>
      <c r="C249" s="35" t="s">
        <v>976</v>
      </c>
      <c r="D249" s="17">
        <f t="shared" si="3"/>
        <v>20.6</v>
      </c>
      <c r="E249" s="17">
        <v>20.6</v>
      </c>
      <c r="F249" s="17">
        <v>20.6</v>
      </c>
    </row>
    <row r="250" spans="1:6" ht="15" customHeight="1" x14ac:dyDescent="0.25">
      <c r="A250" s="20">
        <v>5068</v>
      </c>
      <c r="B250" s="9" t="s">
        <v>1545</v>
      </c>
      <c r="C250" s="35" t="s">
        <v>976</v>
      </c>
      <c r="D250" s="17">
        <f t="shared" si="3"/>
        <v>19.329999999999998</v>
      </c>
      <c r="E250" s="17">
        <v>19.329999999999998</v>
      </c>
      <c r="F250" s="17">
        <v>19.329999999999998</v>
      </c>
    </row>
    <row r="251" spans="1:6" ht="15" customHeight="1" x14ac:dyDescent="0.25">
      <c r="A251" s="20">
        <v>5073</v>
      </c>
      <c r="B251" s="9" t="s">
        <v>1546</v>
      </c>
      <c r="C251" s="35" t="s">
        <v>976</v>
      </c>
      <c r="D251" s="17">
        <f t="shared" si="3"/>
        <v>19.7</v>
      </c>
      <c r="E251" s="17">
        <v>19.7</v>
      </c>
      <c r="F251" s="17">
        <v>19.7</v>
      </c>
    </row>
    <row r="252" spans="1:6" ht="15" customHeight="1" x14ac:dyDescent="0.25">
      <c r="A252" s="20">
        <v>5069</v>
      </c>
      <c r="B252" s="9" t="s">
        <v>1547</v>
      </c>
      <c r="C252" s="35" t="s">
        <v>976</v>
      </c>
      <c r="D252" s="17">
        <f t="shared" si="3"/>
        <v>19.7</v>
      </c>
      <c r="E252" s="17">
        <v>19.7</v>
      </c>
      <c r="F252" s="17">
        <v>19.7</v>
      </c>
    </row>
    <row r="253" spans="1:6" ht="15" customHeight="1" x14ac:dyDescent="0.25">
      <c r="A253" s="20">
        <v>5075</v>
      </c>
      <c r="B253" s="9" t="s">
        <v>1548</v>
      </c>
      <c r="C253" s="35" t="s">
        <v>976</v>
      </c>
      <c r="D253" s="17">
        <f t="shared" si="3"/>
        <v>19.329999999999998</v>
      </c>
      <c r="E253" s="17">
        <v>19.329999999999998</v>
      </c>
      <c r="F253" s="17">
        <v>19.329999999999998</v>
      </c>
    </row>
    <row r="254" spans="1:6" ht="15" customHeight="1" x14ac:dyDescent="0.25">
      <c r="A254" s="20">
        <v>39027</v>
      </c>
      <c r="B254" s="9" t="s">
        <v>1549</v>
      </c>
      <c r="C254" s="35" t="s">
        <v>976</v>
      </c>
      <c r="D254" s="17">
        <f t="shared" si="3"/>
        <v>19.309999999999999</v>
      </c>
      <c r="E254" s="17">
        <v>19.309999999999999</v>
      </c>
      <c r="F254" s="17">
        <v>19.309999999999999</v>
      </c>
    </row>
    <row r="255" spans="1:6" ht="15" customHeight="1" x14ac:dyDescent="0.25">
      <c r="A255" s="20">
        <v>40568</v>
      </c>
      <c r="B255" s="9" t="s">
        <v>1550</v>
      </c>
      <c r="C255" s="35" t="s">
        <v>976</v>
      </c>
      <c r="D255" s="17">
        <f t="shared" si="3"/>
        <v>19.47</v>
      </c>
      <c r="E255" s="17">
        <v>19.47</v>
      </c>
      <c r="F255" s="17">
        <v>19.47</v>
      </c>
    </row>
    <row r="256" spans="1:6" ht="15" customHeight="1" x14ac:dyDescent="0.25">
      <c r="A256" s="20">
        <v>40304</v>
      </c>
      <c r="B256" s="9" t="s">
        <v>1551</v>
      </c>
      <c r="C256" s="35" t="s">
        <v>976</v>
      </c>
      <c r="D256" s="17">
        <f t="shared" si="3"/>
        <v>23.85</v>
      </c>
      <c r="E256" s="17">
        <v>23.85</v>
      </c>
      <c r="F256" s="17">
        <v>23.85</v>
      </c>
    </row>
    <row r="257" spans="1:6" ht="15" customHeight="1" x14ac:dyDescent="0.25">
      <c r="A257" s="16" t="s">
        <v>349</v>
      </c>
      <c r="B257" s="9" t="s">
        <v>1552</v>
      </c>
      <c r="C257" s="35" t="s">
        <v>129</v>
      </c>
      <c r="D257" s="17">
        <f t="shared" si="3"/>
        <v>2.71</v>
      </c>
      <c r="E257" s="17">
        <v>2.71</v>
      </c>
      <c r="F257" s="17">
        <v>2.71</v>
      </c>
    </row>
    <row r="258" spans="1:6" ht="15" customHeight="1" x14ac:dyDescent="0.25">
      <c r="A258" s="16" t="s">
        <v>345</v>
      </c>
      <c r="B258" s="9" t="s">
        <v>1553</v>
      </c>
      <c r="C258" s="35" t="s">
        <v>129</v>
      </c>
      <c r="D258" s="17">
        <f t="shared" ref="D258:D321" si="4">IF(ONERA="COM DESONERAÇÃO",E258,F258)</f>
        <v>2.71</v>
      </c>
      <c r="E258" s="17">
        <v>2.71</v>
      </c>
      <c r="F258" s="17">
        <v>2.71</v>
      </c>
    </row>
    <row r="259" spans="1:6" ht="15" customHeight="1" x14ac:dyDescent="0.25">
      <c r="A259" s="16" t="s">
        <v>528</v>
      </c>
      <c r="B259" s="9" t="s">
        <v>1554</v>
      </c>
      <c r="C259" s="35" t="s">
        <v>979</v>
      </c>
      <c r="D259" s="17">
        <f t="shared" si="4"/>
        <v>4.9000000000000004</v>
      </c>
      <c r="E259" s="17">
        <v>4.9000000000000004</v>
      </c>
      <c r="F259" s="17">
        <v>4.9000000000000004</v>
      </c>
    </row>
    <row r="260" spans="1:6" ht="15" customHeight="1" x14ac:dyDescent="0.25">
      <c r="A260" s="16" t="s">
        <v>529</v>
      </c>
      <c r="B260" s="9" t="s">
        <v>1555</v>
      </c>
      <c r="C260" s="35" t="s">
        <v>979</v>
      </c>
      <c r="D260" s="17">
        <f t="shared" si="4"/>
        <v>35.9</v>
      </c>
      <c r="E260" s="17">
        <v>35.9</v>
      </c>
      <c r="F260" s="17">
        <v>35.9</v>
      </c>
    </row>
    <row r="261" spans="1:6" ht="15" customHeight="1" x14ac:dyDescent="0.25">
      <c r="A261" s="16" t="s">
        <v>621</v>
      </c>
      <c r="B261" s="9" t="s">
        <v>1556</v>
      </c>
      <c r="C261" s="35" t="s">
        <v>979</v>
      </c>
      <c r="D261" s="17">
        <f t="shared" si="4"/>
        <v>21</v>
      </c>
      <c r="E261" s="17">
        <v>21</v>
      </c>
      <c r="F261" s="17">
        <v>21</v>
      </c>
    </row>
    <row r="262" spans="1:6" ht="15" customHeight="1" x14ac:dyDescent="0.25">
      <c r="A262" s="16" t="s">
        <v>466</v>
      </c>
      <c r="B262" s="9" t="s">
        <v>1557</v>
      </c>
      <c r="C262" s="35" t="s">
        <v>979</v>
      </c>
      <c r="D262" s="17">
        <f t="shared" si="4"/>
        <v>555.20000000000005</v>
      </c>
      <c r="E262" s="17">
        <v>555.20000000000005</v>
      </c>
      <c r="F262" s="17">
        <v>555.20000000000005</v>
      </c>
    </row>
    <row r="263" spans="1:6" ht="15" customHeight="1" x14ac:dyDescent="0.25">
      <c r="A263" s="16" t="s">
        <v>428</v>
      </c>
      <c r="B263" s="9" t="s">
        <v>1558</v>
      </c>
      <c r="C263" s="35" t="s">
        <v>979</v>
      </c>
      <c r="D263" s="17">
        <f t="shared" si="4"/>
        <v>14.85</v>
      </c>
      <c r="E263" s="17">
        <v>14.85</v>
      </c>
      <c r="F263" s="17">
        <v>14.85</v>
      </c>
    </row>
    <row r="264" spans="1:6" ht="15" customHeight="1" x14ac:dyDescent="0.25">
      <c r="A264" s="16" t="s">
        <v>460</v>
      </c>
      <c r="B264" s="9" t="s">
        <v>1559</v>
      </c>
      <c r="C264" s="35" t="s">
        <v>979</v>
      </c>
      <c r="D264" s="17">
        <f t="shared" si="4"/>
        <v>78.180000000000007</v>
      </c>
      <c r="E264" s="17">
        <v>78.180000000000007</v>
      </c>
      <c r="F264" s="17">
        <v>78.180000000000007</v>
      </c>
    </row>
    <row r="265" spans="1:6" ht="15" customHeight="1" x14ac:dyDescent="0.25">
      <c r="A265" s="16" t="s">
        <v>530</v>
      </c>
      <c r="B265" s="9" t="s">
        <v>1560</v>
      </c>
      <c r="C265" s="35" t="s">
        <v>979</v>
      </c>
      <c r="D265" s="17">
        <f t="shared" si="4"/>
        <v>4.5</v>
      </c>
      <c r="E265" s="17">
        <v>4.5</v>
      </c>
      <c r="F265" s="17">
        <v>4.5</v>
      </c>
    </row>
    <row r="266" spans="1:6" ht="15" customHeight="1" x14ac:dyDescent="0.25">
      <c r="A266" s="20">
        <v>6036</v>
      </c>
      <c r="B266" s="9" t="s">
        <v>1561</v>
      </c>
      <c r="C266" s="35" t="s">
        <v>979</v>
      </c>
      <c r="D266" s="17">
        <f t="shared" si="4"/>
        <v>14.99</v>
      </c>
      <c r="E266" s="17">
        <v>14.99</v>
      </c>
      <c r="F266" s="17">
        <v>14.99</v>
      </c>
    </row>
    <row r="267" spans="1:6" ht="15" customHeight="1" x14ac:dyDescent="0.25">
      <c r="A267" s="20">
        <v>6038</v>
      </c>
      <c r="B267" s="9" t="s">
        <v>1562</v>
      </c>
      <c r="C267" s="35" t="s">
        <v>979</v>
      </c>
      <c r="D267" s="17">
        <f t="shared" si="4"/>
        <v>5.76</v>
      </c>
      <c r="E267" s="17">
        <v>5.76</v>
      </c>
      <c r="F267" s="17">
        <v>5.76</v>
      </c>
    </row>
    <row r="268" spans="1:6" ht="15" customHeight="1" x14ac:dyDescent="0.25">
      <c r="A268" s="16" t="s">
        <v>619</v>
      </c>
      <c r="B268" s="9" t="s">
        <v>1563</v>
      </c>
      <c r="C268" s="35" t="s">
        <v>979</v>
      </c>
      <c r="D268" s="17">
        <f t="shared" si="4"/>
        <v>16.7</v>
      </c>
      <c r="E268" s="17">
        <v>16.7</v>
      </c>
      <c r="F268" s="17">
        <v>16.7</v>
      </c>
    </row>
    <row r="269" spans="1:6" ht="15" customHeight="1" x14ac:dyDescent="0.25">
      <c r="A269" s="20">
        <v>34357</v>
      </c>
      <c r="B269" s="9" t="s">
        <v>1564</v>
      </c>
      <c r="C269" s="35" t="s">
        <v>976</v>
      </c>
      <c r="D269" s="17">
        <f t="shared" si="4"/>
        <v>3.34</v>
      </c>
      <c r="E269" s="17">
        <v>3.34</v>
      </c>
      <c r="F269" s="17">
        <v>3.34</v>
      </c>
    </row>
    <row r="270" spans="1:6" ht="15" customHeight="1" x14ac:dyDescent="0.25">
      <c r="A270" s="20">
        <v>37329</v>
      </c>
      <c r="B270" s="9" t="s">
        <v>1565</v>
      </c>
      <c r="C270" s="35" t="s">
        <v>976</v>
      </c>
      <c r="D270" s="17">
        <f t="shared" si="4"/>
        <v>70.489999999999995</v>
      </c>
      <c r="E270" s="17">
        <v>70.489999999999995</v>
      </c>
      <c r="F270" s="17">
        <v>70.489999999999995</v>
      </c>
    </row>
    <row r="271" spans="1:6" ht="15" customHeight="1" x14ac:dyDescent="0.25">
      <c r="A271" s="20">
        <v>533</v>
      </c>
      <c r="B271" s="9" t="s">
        <v>1566</v>
      </c>
      <c r="C271" s="35" t="s">
        <v>219</v>
      </c>
      <c r="D271" s="17">
        <f t="shared" si="4"/>
        <v>25.27</v>
      </c>
      <c r="E271" s="17">
        <v>25.27</v>
      </c>
      <c r="F271" s="17">
        <v>25.27</v>
      </c>
    </row>
    <row r="272" spans="1:6" ht="15" customHeight="1" x14ac:dyDescent="0.25">
      <c r="A272" s="20">
        <v>4408</v>
      </c>
      <c r="B272" s="9" t="s">
        <v>1567</v>
      </c>
      <c r="C272" s="35" t="s">
        <v>970</v>
      </c>
      <c r="D272" s="17">
        <f t="shared" si="4"/>
        <v>1.81</v>
      </c>
      <c r="E272" s="17">
        <v>1.81</v>
      </c>
      <c r="F272" s="17">
        <v>1.81</v>
      </c>
    </row>
    <row r="273" spans="1:6" ht="15" customHeight="1" x14ac:dyDescent="0.25">
      <c r="A273" s="16" t="s">
        <v>457</v>
      </c>
      <c r="B273" s="9" t="s">
        <v>1568</v>
      </c>
      <c r="C273" s="35" t="s">
        <v>970</v>
      </c>
      <c r="D273" s="17">
        <f t="shared" si="4"/>
        <v>52.8</v>
      </c>
      <c r="E273" s="17">
        <v>52.8</v>
      </c>
      <c r="F273" s="17">
        <v>52.8</v>
      </c>
    </row>
    <row r="274" spans="1:6" ht="15" customHeight="1" x14ac:dyDescent="0.25">
      <c r="A274" s="16" t="s">
        <v>634</v>
      </c>
      <c r="B274" s="9" t="s">
        <v>1569</v>
      </c>
      <c r="C274" s="35" t="s">
        <v>979</v>
      </c>
      <c r="D274" s="17">
        <f t="shared" si="4"/>
        <v>15.9</v>
      </c>
      <c r="E274" s="17">
        <v>15.9</v>
      </c>
      <c r="F274" s="17">
        <v>15.9</v>
      </c>
    </row>
    <row r="275" spans="1:6" ht="15" customHeight="1" x14ac:dyDescent="0.25">
      <c r="A275" s="16" t="s">
        <v>498</v>
      </c>
      <c r="B275" s="9" t="s">
        <v>1570</v>
      </c>
      <c r="C275" s="35" t="s">
        <v>976</v>
      </c>
      <c r="D275" s="17">
        <f t="shared" si="4"/>
        <v>8.58</v>
      </c>
      <c r="E275" s="17">
        <v>8.58</v>
      </c>
      <c r="F275" s="17">
        <v>8.58</v>
      </c>
    </row>
    <row r="276" spans="1:6" ht="15" customHeight="1" x14ac:dyDescent="0.25">
      <c r="A276" s="20">
        <v>4509</v>
      </c>
      <c r="B276" s="9" t="s">
        <v>1571</v>
      </c>
      <c r="C276" s="35" t="s">
        <v>970</v>
      </c>
      <c r="D276" s="17">
        <f t="shared" si="4"/>
        <v>3.38</v>
      </c>
      <c r="E276" s="17">
        <v>3.38</v>
      </c>
      <c r="F276" s="17">
        <v>3.38</v>
      </c>
    </row>
    <row r="277" spans="1:6" ht="15" customHeight="1" x14ac:dyDescent="0.25">
      <c r="A277" s="20">
        <v>4517</v>
      </c>
      <c r="B277" s="9" t="s">
        <v>1572</v>
      </c>
      <c r="C277" s="35" t="s">
        <v>970</v>
      </c>
      <c r="D277" s="17">
        <f t="shared" si="4"/>
        <v>2.33</v>
      </c>
      <c r="E277" s="17">
        <v>2.33</v>
      </c>
      <c r="F277" s="17">
        <v>2.33</v>
      </c>
    </row>
    <row r="278" spans="1:6" ht="15" customHeight="1" x14ac:dyDescent="0.25">
      <c r="A278" s="20">
        <v>4417</v>
      </c>
      <c r="B278" s="9" t="s">
        <v>1573</v>
      </c>
      <c r="C278" s="35" t="s">
        <v>970</v>
      </c>
      <c r="D278" s="17">
        <f t="shared" si="4"/>
        <v>5.17</v>
      </c>
      <c r="E278" s="17">
        <v>5.17</v>
      </c>
      <c r="F278" s="17">
        <v>5.17</v>
      </c>
    </row>
    <row r="279" spans="1:6" ht="15" customHeight="1" x14ac:dyDescent="0.25">
      <c r="A279" s="20">
        <v>4415</v>
      </c>
      <c r="B279" s="9" t="s">
        <v>1574</v>
      </c>
      <c r="C279" s="35" t="s">
        <v>970</v>
      </c>
      <c r="D279" s="17">
        <f t="shared" si="4"/>
        <v>3.59</v>
      </c>
      <c r="E279" s="17">
        <v>3.59</v>
      </c>
      <c r="F279" s="17">
        <v>3.59</v>
      </c>
    </row>
    <row r="280" spans="1:6" ht="15" customHeight="1" x14ac:dyDescent="0.25">
      <c r="A280" s="20">
        <v>37373</v>
      </c>
      <c r="B280" s="9" t="s">
        <v>1575</v>
      </c>
      <c r="C280" s="35" t="s">
        <v>981</v>
      </c>
      <c r="D280" s="17">
        <f t="shared" si="4"/>
        <v>0.06</v>
      </c>
      <c r="E280" s="17">
        <v>0.06</v>
      </c>
      <c r="F280" s="17">
        <v>0.06</v>
      </c>
    </row>
    <row r="281" spans="1:6" ht="15" customHeight="1" x14ac:dyDescent="0.25">
      <c r="A281" s="16" t="s">
        <v>525</v>
      </c>
      <c r="B281" s="9" t="s">
        <v>1576</v>
      </c>
      <c r="C281" s="35" t="s">
        <v>979</v>
      </c>
      <c r="D281" s="17">
        <f t="shared" si="4"/>
        <v>12.54</v>
      </c>
      <c r="E281" s="17">
        <v>12.54</v>
      </c>
      <c r="F281" s="17">
        <v>12.54</v>
      </c>
    </row>
    <row r="282" spans="1:6" ht="15" customHeight="1" x14ac:dyDescent="0.25">
      <c r="A282" s="20">
        <v>6085</v>
      </c>
      <c r="B282" s="9" t="s">
        <v>1577</v>
      </c>
      <c r="C282" s="35" t="s">
        <v>870</v>
      </c>
      <c r="D282" s="17">
        <f t="shared" si="4"/>
        <v>5.88</v>
      </c>
      <c r="E282" s="17">
        <v>5.88</v>
      </c>
      <c r="F282" s="17">
        <v>5.88</v>
      </c>
    </row>
    <row r="283" spans="1:6" ht="15" customHeight="1" x14ac:dyDescent="0.25">
      <c r="A283" s="20">
        <v>142</v>
      </c>
      <c r="B283" s="9" t="s">
        <v>1578</v>
      </c>
      <c r="C283" s="35" t="s">
        <v>1579</v>
      </c>
      <c r="D283" s="17">
        <f t="shared" si="4"/>
        <v>34.619999999999997</v>
      </c>
      <c r="E283" s="17">
        <v>34.619999999999997</v>
      </c>
      <c r="F283" s="17">
        <v>34.619999999999997</v>
      </c>
    </row>
    <row r="284" spans="1:6" ht="15" customHeight="1" x14ac:dyDescent="0.25">
      <c r="A284" s="20">
        <v>14618</v>
      </c>
      <c r="B284" s="9" t="s">
        <v>1580</v>
      </c>
      <c r="C284" s="35" t="s">
        <v>979</v>
      </c>
      <c r="D284" s="17">
        <f t="shared" si="4"/>
        <v>1385.85</v>
      </c>
      <c r="E284" s="17">
        <v>1385.85</v>
      </c>
      <c r="F284" s="17">
        <v>1385.85</v>
      </c>
    </row>
    <row r="285" spans="1:6" ht="15" customHeight="1" x14ac:dyDescent="0.25">
      <c r="A285" s="16" t="s">
        <v>804</v>
      </c>
      <c r="B285" s="9" t="s">
        <v>1581</v>
      </c>
      <c r="C285" s="35" t="s">
        <v>979</v>
      </c>
      <c r="D285" s="17">
        <f t="shared" si="4"/>
        <v>518</v>
      </c>
      <c r="E285" s="17">
        <v>518</v>
      </c>
      <c r="F285" s="17">
        <v>518</v>
      </c>
    </row>
    <row r="286" spans="1:6" ht="15" customHeight="1" x14ac:dyDescent="0.25">
      <c r="A286" s="16" t="s">
        <v>625</v>
      </c>
      <c r="B286" s="9" t="s">
        <v>1582</v>
      </c>
      <c r="C286" s="35" t="s">
        <v>979</v>
      </c>
      <c r="D286" s="17">
        <f t="shared" si="4"/>
        <v>272.97000000000003</v>
      </c>
      <c r="E286" s="17">
        <v>272.97000000000003</v>
      </c>
      <c r="F286" s="17">
        <v>272.97000000000003</v>
      </c>
    </row>
    <row r="287" spans="1:6" ht="15" customHeight="1" x14ac:dyDescent="0.25">
      <c r="A287" s="16" t="s">
        <v>800</v>
      </c>
      <c r="B287" s="9" t="s">
        <v>1583</v>
      </c>
      <c r="C287" s="35" t="s">
        <v>979</v>
      </c>
      <c r="D287" s="17">
        <f t="shared" si="4"/>
        <v>18.579999999999998</v>
      </c>
      <c r="E287" s="17">
        <v>18.579999999999998</v>
      </c>
      <c r="F287" s="17">
        <v>18.579999999999998</v>
      </c>
    </row>
    <row r="288" spans="1:6" ht="15" customHeight="1" x14ac:dyDescent="0.25">
      <c r="A288" s="16" t="s">
        <v>355</v>
      </c>
      <c r="B288" s="9" t="s">
        <v>1584</v>
      </c>
      <c r="C288" s="35" t="s">
        <v>981</v>
      </c>
      <c r="D288" s="17">
        <f t="shared" si="4"/>
        <v>17.14</v>
      </c>
      <c r="E288" s="17">
        <v>17.14</v>
      </c>
      <c r="F288" s="17">
        <v>17.14</v>
      </c>
    </row>
    <row r="289" spans="1:6" ht="15" customHeight="1" x14ac:dyDescent="0.25">
      <c r="A289" s="20">
        <v>6111</v>
      </c>
      <c r="B289" s="9" t="s">
        <v>1585</v>
      </c>
      <c r="C289" s="35" t="s">
        <v>981</v>
      </c>
      <c r="D289" s="17">
        <f t="shared" si="4"/>
        <v>10.6</v>
      </c>
      <c r="E289" s="17">
        <v>9.16</v>
      </c>
      <c r="F289" s="17">
        <v>10.6</v>
      </c>
    </row>
    <row r="290" spans="1:6" ht="15" customHeight="1" x14ac:dyDescent="0.25">
      <c r="A290" s="20">
        <v>25950</v>
      </c>
      <c r="B290" s="9" t="s">
        <v>1586</v>
      </c>
      <c r="C290" s="35" t="s">
        <v>974</v>
      </c>
      <c r="D290" s="17">
        <f t="shared" si="4"/>
        <v>38.04</v>
      </c>
      <c r="E290" s="17">
        <v>38.04</v>
      </c>
      <c r="F290" s="17">
        <v>38.04</v>
      </c>
    </row>
    <row r="291" spans="1:6" ht="15" customHeight="1" x14ac:dyDescent="0.25">
      <c r="A291" s="16" t="s">
        <v>341</v>
      </c>
      <c r="B291" s="9" t="s">
        <v>1261</v>
      </c>
      <c r="C291" s="35" t="s">
        <v>970</v>
      </c>
      <c r="D291" s="17">
        <f t="shared" si="4"/>
        <v>235.12</v>
      </c>
      <c r="E291" s="17">
        <v>235.12</v>
      </c>
      <c r="F291" s="17">
        <v>235.12</v>
      </c>
    </row>
    <row r="292" spans="1:6" ht="15" customHeight="1" x14ac:dyDescent="0.25">
      <c r="A292" s="20">
        <v>6136</v>
      </c>
      <c r="B292" s="9" t="s">
        <v>1587</v>
      </c>
      <c r="C292" s="35" t="s">
        <v>979</v>
      </c>
      <c r="D292" s="17">
        <f t="shared" si="4"/>
        <v>114</v>
      </c>
      <c r="E292" s="17">
        <v>114</v>
      </c>
      <c r="F292" s="17">
        <v>114</v>
      </c>
    </row>
    <row r="293" spans="1:6" ht="15" customHeight="1" x14ac:dyDescent="0.25">
      <c r="A293" s="20">
        <v>20232</v>
      </c>
      <c r="B293" s="9" t="s">
        <v>1588</v>
      </c>
      <c r="C293" s="35" t="s">
        <v>970</v>
      </c>
      <c r="D293" s="17">
        <f t="shared" si="4"/>
        <v>58.99</v>
      </c>
      <c r="E293" s="17">
        <v>58.99</v>
      </c>
      <c r="F293" s="17">
        <v>58.99</v>
      </c>
    </row>
    <row r="294" spans="1:6" ht="15" customHeight="1" x14ac:dyDescent="0.25">
      <c r="A294" s="16" t="s">
        <v>703</v>
      </c>
      <c r="B294" s="9" t="s">
        <v>1589</v>
      </c>
      <c r="C294" s="35" t="s">
        <v>870</v>
      </c>
      <c r="D294" s="17">
        <f t="shared" si="4"/>
        <v>39.22</v>
      </c>
      <c r="E294" s="17">
        <v>39.22</v>
      </c>
      <c r="F294" s="17">
        <v>39.22</v>
      </c>
    </row>
    <row r="295" spans="1:6" ht="15" customHeight="1" x14ac:dyDescent="0.25">
      <c r="A295" s="20">
        <v>20083</v>
      </c>
      <c r="B295" s="9" t="s">
        <v>1590</v>
      </c>
      <c r="C295" s="35" t="s">
        <v>979</v>
      </c>
      <c r="D295" s="17">
        <f t="shared" si="4"/>
        <v>56.87</v>
      </c>
      <c r="E295" s="17">
        <v>56.87</v>
      </c>
      <c r="F295" s="17">
        <v>56.87</v>
      </c>
    </row>
    <row r="296" spans="1:6" ht="15" customHeight="1" x14ac:dyDescent="0.25">
      <c r="A296" s="16" t="s">
        <v>423</v>
      </c>
      <c r="B296" s="9" t="s">
        <v>1591</v>
      </c>
      <c r="C296" s="35" t="s">
        <v>870</v>
      </c>
      <c r="D296" s="17">
        <f t="shared" si="4"/>
        <v>62.75</v>
      </c>
      <c r="E296" s="17">
        <v>62.75</v>
      </c>
      <c r="F296" s="17">
        <v>62.75</v>
      </c>
    </row>
    <row r="297" spans="1:6" ht="15" customHeight="1" x14ac:dyDescent="0.25">
      <c r="A297" s="16" t="s">
        <v>722</v>
      </c>
      <c r="B297" s="9" t="s">
        <v>1263</v>
      </c>
      <c r="C297" s="35" t="s">
        <v>979</v>
      </c>
      <c r="D297" s="17">
        <f t="shared" si="4"/>
        <v>1</v>
      </c>
      <c r="E297" s="17">
        <v>1</v>
      </c>
      <c r="F297" s="17">
        <v>1</v>
      </c>
    </row>
    <row r="298" spans="1:6" ht="15" customHeight="1" x14ac:dyDescent="0.25">
      <c r="A298" s="20">
        <v>38099</v>
      </c>
      <c r="B298" s="9" t="s">
        <v>1592</v>
      </c>
      <c r="C298" s="35" t="s">
        <v>979</v>
      </c>
      <c r="D298" s="17">
        <f t="shared" si="4"/>
        <v>1.48</v>
      </c>
      <c r="E298" s="17">
        <v>1.48</v>
      </c>
      <c r="F298" s="17">
        <v>1.48</v>
      </c>
    </row>
    <row r="299" spans="1:6" ht="15" customHeight="1" x14ac:dyDescent="0.25">
      <c r="A299" s="20">
        <v>6193</v>
      </c>
      <c r="B299" s="9" t="s">
        <v>1593</v>
      </c>
      <c r="C299" s="35" t="s">
        <v>970</v>
      </c>
      <c r="D299" s="17">
        <f t="shared" si="4"/>
        <v>13.42</v>
      </c>
      <c r="E299" s="17">
        <v>13.42</v>
      </c>
      <c r="F299" s="17">
        <v>13.42</v>
      </c>
    </row>
    <row r="300" spans="1:6" ht="15" customHeight="1" x14ac:dyDescent="0.25">
      <c r="A300" s="20">
        <v>6189</v>
      </c>
      <c r="B300" s="9" t="s">
        <v>1594</v>
      </c>
      <c r="C300" s="35" t="s">
        <v>970</v>
      </c>
      <c r="D300" s="17">
        <f t="shared" si="4"/>
        <v>19.59</v>
      </c>
      <c r="E300" s="17">
        <v>19.59</v>
      </c>
      <c r="F300" s="17">
        <v>19.59</v>
      </c>
    </row>
    <row r="301" spans="1:6" ht="15" customHeight="1" x14ac:dyDescent="0.25">
      <c r="A301" s="16" t="s">
        <v>523</v>
      </c>
      <c r="B301" s="9" t="s">
        <v>1595</v>
      </c>
      <c r="C301" s="35" t="s">
        <v>979</v>
      </c>
      <c r="D301" s="17">
        <f t="shared" si="4"/>
        <v>13.85</v>
      </c>
      <c r="E301" s="17">
        <v>13.85</v>
      </c>
      <c r="F301" s="17">
        <v>13.85</v>
      </c>
    </row>
    <row r="302" spans="1:6" ht="15" customHeight="1" x14ac:dyDescent="0.25">
      <c r="A302" s="16" t="s">
        <v>443</v>
      </c>
      <c r="B302" s="9" t="s">
        <v>1596</v>
      </c>
      <c r="C302" s="35" t="s">
        <v>979</v>
      </c>
      <c r="D302" s="17">
        <f t="shared" si="4"/>
        <v>206.17</v>
      </c>
      <c r="E302" s="17">
        <v>206.17</v>
      </c>
      <c r="F302" s="17">
        <v>206.17</v>
      </c>
    </row>
    <row r="303" spans="1:6" ht="15" customHeight="1" x14ac:dyDescent="0.25">
      <c r="A303" s="16" t="s">
        <v>456</v>
      </c>
      <c r="B303" s="9" t="s">
        <v>1597</v>
      </c>
      <c r="C303" s="35" t="s">
        <v>219</v>
      </c>
      <c r="D303" s="17">
        <f t="shared" si="4"/>
        <v>308</v>
      </c>
      <c r="E303" s="17">
        <v>308</v>
      </c>
      <c r="F303" s="17">
        <v>308</v>
      </c>
    </row>
    <row r="304" spans="1:6" ht="15" customHeight="1" x14ac:dyDescent="0.25">
      <c r="A304" s="20">
        <v>37736</v>
      </c>
      <c r="B304" s="9" t="s">
        <v>1598</v>
      </c>
      <c r="C304" s="35" t="s">
        <v>979</v>
      </c>
      <c r="D304" s="17">
        <f t="shared" si="4"/>
        <v>78450</v>
      </c>
      <c r="E304" s="17">
        <v>78450</v>
      </c>
      <c r="F304" s="17">
        <v>78450</v>
      </c>
    </row>
    <row r="305" spans="1:6" ht="15" customHeight="1" x14ac:dyDescent="0.25">
      <c r="A305" s="16" t="s">
        <v>538</v>
      </c>
      <c r="B305" s="9" t="s">
        <v>1599</v>
      </c>
      <c r="C305" s="35" t="s">
        <v>979</v>
      </c>
      <c r="D305" s="17">
        <f t="shared" si="4"/>
        <v>60</v>
      </c>
      <c r="E305" s="17">
        <v>60</v>
      </c>
      <c r="F305" s="17">
        <v>60</v>
      </c>
    </row>
    <row r="306" spans="1:6" ht="15" customHeight="1" x14ac:dyDescent="0.25">
      <c r="A306" s="16" t="s">
        <v>539</v>
      </c>
      <c r="B306" s="9" t="s">
        <v>1600</v>
      </c>
      <c r="C306" s="35" t="s">
        <v>979</v>
      </c>
      <c r="D306" s="17">
        <f t="shared" si="4"/>
        <v>31.36</v>
      </c>
      <c r="E306" s="17">
        <v>31.36</v>
      </c>
      <c r="F306" s="17">
        <v>31.36</v>
      </c>
    </row>
    <row r="307" spans="1:6" ht="15" customHeight="1" x14ac:dyDescent="0.25">
      <c r="A307" s="16" t="s">
        <v>537</v>
      </c>
      <c r="B307" s="9" t="s">
        <v>1601</v>
      </c>
      <c r="C307" s="35" t="s">
        <v>979</v>
      </c>
      <c r="D307" s="17">
        <f t="shared" si="4"/>
        <v>21.96</v>
      </c>
      <c r="E307" s="17">
        <v>21.96</v>
      </c>
      <c r="F307" s="17">
        <v>21.96</v>
      </c>
    </row>
    <row r="308" spans="1:6" ht="15" customHeight="1" x14ac:dyDescent="0.25">
      <c r="A308" s="16" t="s">
        <v>535</v>
      </c>
      <c r="B308" s="9" t="s">
        <v>1602</v>
      </c>
      <c r="C308" s="35" t="s">
        <v>979</v>
      </c>
      <c r="D308" s="17">
        <f t="shared" si="4"/>
        <v>21</v>
      </c>
      <c r="E308" s="17">
        <v>21</v>
      </c>
      <c r="F308" s="17">
        <v>21</v>
      </c>
    </row>
    <row r="309" spans="1:6" ht="15" customHeight="1" x14ac:dyDescent="0.25">
      <c r="A309" s="16" t="s">
        <v>536</v>
      </c>
      <c r="B309" s="9" t="s">
        <v>1603</v>
      </c>
      <c r="C309" s="35" t="s">
        <v>979</v>
      </c>
      <c r="D309" s="17">
        <f t="shared" si="4"/>
        <v>22.8</v>
      </c>
      <c r="E309" s="17">
        <v>22.8</v>
      </c>
      <c r="F309" s="17">
        <v>22.8</v>
      </c>
    </row>
    <row r="310" spans="1:6" ht="15" customHeight="1" x14ac:dyDescent="0.25">
      <c r="A310" s="20">
        <v>7136</v>
      </c>
      <c r="B310" s="9" t="s">
        <v>1604</v>
      </c>
      <c r="C310" s="35" t="s">
        <v>979</v>
      </c>
      <c r="D310" s="17">
        <f t="shared" si="4"/>
        <v>6.77</v>
      </c>
      <c r="E310" s="17">
        <v>6.77</v>
      </c>
      <c r="F310" s="17">
        <v>6.77</v>
      </c>
    </row>
    <row r="311" spans="1:6" ht="15" customHeight="1" x14ac:dyDescent="0.25">
      <c r="A311" s="20">
        <v>7129</v>
      </c>
      <c r="B311" s="9" t="s">
        <v>1605</v>
      </c>
      <c r="C311" s="35" t="s">
        <v>979</v>
      </c>
      <c r="D311" s="17">
        <f t="shared" si="4"/>
        <v>9.8699999999999992</v>
      </c>
      <c r="E311" s="17">
        <v>9.8699999999999992</v>
      </c>
      <c r="F311" s="17">
        <v>9.8699999999999992</v>
      </c>
    </row>
    <row r="312" spans="1:6" ht="15" customHeight="1" x14ac:dyDescent="0.25">
      <c r="A312" s="20">
        <v>7098</v>
      </c>
      <c r="B312" s="9" t="s">
        <v>1606</v>
      </c>
      <c r="C312" s="35" t="s">
        <v>979</v>
      </c>
      <c r="D312" s="17">
        <f t="shared" si="4"/>
        <v>3.4</v>
      </c>
      <c r="E312" s="17">
        <v>3.4</v>
      </c>
      <c r="F312" s="17">
        <v>3.4</v>
      </c>
    </row>
    <row r="313" spans="1:6" ht="15" customHeight="1" x14ac:dyDescent="0.25">
      <c r="A313" s="20">
        <v>7137</v>
      </c>
      <c r="B313" s="9" t="s">
        <v>1607</v>
      </c>
      <c r="C313" s="35" t="s">
        <v>979</v>
      </c>
      <c r="D313" s="17">
        <f t="shared" si="4"/>
        <v>9.7100000000000009</v>
      </c>
      <c r="E313" s="17">
        <v>9.7100000000000009</v>
      </c>
      <c r="F313" s="17">
        <v>9.7100000000000009</v>
      </c>
    </row>
    <row r="314" spans="1:6" ht="15" customHeight="1" x14ac:dyDescent="0.25">
      <c r="A314" s="20">
        <v>7091</v>
      </c>
      <c r="B314" s="9" t="s">
        <v>1608</v>
      </c>
      <c r="C314" s="35" t="s">
        <v>979</v>
      </c>
      <c r="D314" s="17">
        <f t="shared" si="4"/>
        <v>15.26</v>
      </c>
      <c r="E314" s="17">
        <v>15.26</v>
      </c>
      <c r="F314" s="17">
        <v>15.26</v>
      </c>
    </row>
    <row r="315" spans="1:6" ht="15" customHeight="1" x14ac:dyDescent="0.25">
      <c r="A315" s="20">
        <v>7139</v>
      </c>
      <c r="B315" s="9" t="s">
        <v>1609</v>
      </c>
      <c r="C315" s="35" t="s">
        <v>979</v>
      </c>
      <c r="D315" s="17">
        <f t="shared" si="4"/>
        <v>1.37</v>
      </c>
      <c r="E315" s="17">
        <v>1.37</v>
      </c>
      <c r="F315" s="17">
        <v>1.37</v>
      </c>
    </row>
    <row r="316" spans="1:6" ht="15" customHeight="1" x14ac:dyDescent="0.25">
      <c r="A316" s="20">
        <v>34547</v>
      </c>
      <c r="B316" s="9" t="s">
        <v>1610</v>
      </c>
      <c r="C316" s="35" t="s">
        <v>970</v>
      </c>
      <c r="D316" s="17">
        <f t="shared" si="4"/>
        <v>4.82</v>
      </c>
      <c r="E316" s="17">
        <v>4.82</v>
      </c>
      <c r="F316" s="17">
        <v>4.82</v>
      </c>
    </row>
    <row r="317" spans="1:6" ht="15" customHeight="1" x14ac:dyDescent="0.25">
      <c r="A317" s="20">
        <v>34557</v>
      </c>
      <c r="B317" s="9" t="s">
        <v>1611</v>
      </c>
      <c r="C317" s="35" t="s">
        <v>970</v>
      </c>
      <c r="D317" s="17">
        <f t="shared" si="4"/>
        <v>3.05</v>
      </c>
      <c r="E317" s="17">
        <v>3.05</v>
      </c>
      <c r="F317" s="17">
        <v>3.05</v>
      </c>
    </row>
    <row r="318" spans="1:6" ht="15" customHeight="1" x14ac:dyDescent="0.25">
      <c r="A318" s="20">
        <v>7156</v>
      </c>
      <c r="B318" s="9" t="s">
        <v>1612</v>
      </c>
      <c r="C318" s="35" t="s">
        <v>219</v>
      </c>
      <c r="D318" s="17">
        <f t="shared" si="4"/>
        <v>34.43</v>
      </c>
      <c r="E318" s="17">
        <v>34.43</v>
      </c>
      <c r="F318" s="17">
        <v>34.43</v>
      </c>
    </row>
    <row r="319" spans="1:6" ht="15" customHeight="1" x14ac:dyDescent="0.25">
      <c r="A319" s="20">
        <v>7173</v>
      </c>
      <c r="B319" s="9" t="s">
        <v>1613</v>
      </c>
      <c r="C319" s="35" t="s">
        <v>1614</v>
      </c>
      <c r="D319" s="17">
        <f t="shared" si="4"/>
        <v>750</v>
      </c>
      <c r="E319" s="17">
        <v>750</v>
      </c>
      <c r="F319" s="17">
        <v>750</v>
      </c>
    </row>
    <row r="320" spans="1:6" ht="15" customHeight="1" x14ac:dyDescent="0.25">
      <c r="A320" s="20">
        <v>12869</v>
      </c>
      <c r="B320" s="9" t="s">
        <v>1615</v>
      </c>
      <c r="C320" s="35" t="s">
        <v>981</v>
      </c>
      <c r="D320" s="17">
        <f t="shared" si="4"/>
        <v>17.82</v>
      </c>
      <c r="E320" s="17">
        <v>15.4</v>
      </c>
      <c r="F320" s="17">
        <v>17.82</v>
      </c>
    </row>
    <row r="321" spans="1:6" ht="15" customHeight="1" x14ac:dyDescent="0.25">
      <c r="A321" s="20">
        <v>1570</v>
      </c>
      <c r="B321" s="9" t="s">
        <v>1616</v>
      </c>
      <c r="C321" s="35" t="s">
        <v>979</v>
      </c>
      <c r="D321" s="17">
        <f t="shared" si="4"/>
        <v>1</v>
      </c>
      <c r="E321" s="17">
        <v>1</v>
      </c>
      <c r="F321" s="17">
        <v>1</v>
      </c>
    </row>
    <row r="322" spans="1:6" ht="15" customHeight="1" x14ac:dyDescent="0.25">
      <c r="A322" s="20">
        <v>1571</v>
      </c>
      <c r="B322" s="9" t="s">
        <v>1617</v>
      </c>
      <c r="C322" s="35" t="s">
        <v>979</v>
      </c>
      <c r="D322" s="17">
        <f t="shared" ref="D322:D350" si="5">IF(ONERA="COM DESONERAÇÃO",E322,F322)</f>
        <v>1.3</v>
      </c>
      <c r="E322" s="17">
        <v>1.3</v>
      </c>
      <c r="F322" s="17">
        <v>1.3</v>
      </c>
    </row>
    <row r="323" spans="1:6" ht="15" customHeight="1" x14ac:dyDescent="0.25">
      <c r="A323" s="20">
        <v>1573</v>
      </c>
      <c r="B323" s="9" t="s">
        <v>1618</v>
      </c>
      <c r="C323" s="35" t="s">
        <v>979</v>
      </c>
      <c r="D323" s="17">
        <f t="shared" si="5"/>
        <v>1.56</v>
      </c>
      <c r="E323" s="17">
        <v>1.56</v>
      </c>
      <c r="F323" s="17">
        <v>1.56</v>
      </c>
    </row>
    <row r="324" spans="1:6" ht="15" customHeight="1" x14ac:dyDescent="0.25">
      <c r="A324" s="16" t="s">
        <v>459</v>
      </c>
      <c r="B324" s="9" t="s">
        <v>1619</v>
      </c>
      <c r="C324" s="35" t="s">
        <v>970</v>
      </c>
      <c r="D324" s="17">
        <f t="shared" si="5"/>
        <v>23.32</v>
      </c>
      <c r="E324" s="17">
        <v>23.32</v>
      </c>
      <c r="F324" s="17">
        <v>23.32</v>
      </c>
    </row>
    <row r="325" spans="1:6" ht="15" customHeight="1" x14ac:dyDescent="0.25">
      <c r="A325" s="16" t="s">
        <v>676</v>
      </c>
      <c r="B325" s="9" t="s">
        <v>1620</v>
      </c>
      <c r="C325" s="35" t="s">
        <v>979</v>
      </c>
      <c r="D325" s="17">
        <f t="shared" si="5"/>
        <v>0.35</v>
      </c>
      <c r="E325" s="17">
        <v>0.35</v>
      </c>
      <c r="F325" s="17">
        <v>0.35</v>
      </c>
    </row>
    <row r="326" spans="1:6" ht="15" customHeight="1" x14ac:dyDescent="0.25">
      <c r="A326" s="20">
        <v>7356</v>
      </c>
      <c r="B326" s="9" t="s">
        <v>1621</v>
      </c>
      <c r="C326" s="35" t="s">
        <v>870</v>
      </c>
      <c r="D326" s="17">
        <f t="shared" si="5"/>
        <v>17.93</v>
      </c>
      <c r="E326" s="17">
        <v>17.93</v>
      </c>
      <c r="F326" s="17">
        <v>17.93</v>
      </c>
    </row>
    <row r="327" spans="1:6" ht="15" customHeight="1" x14ac:dyDescent="0.25">
      <c r="A327" s="16" t="s">
        <v>410</v>
      </c>
      <c r="B327" s="9" t="s">
        <v>1622</v>
      </c>
      <c r="C327" s="35" t="s">
        <v>870</v>
      </c>
      <c r="D327" s="17">
        <f t="shared" si="5"/>
        <v>24.24</v>
      </c>
      <c r="E327" s="17">
        <v>24.24</v>
      </c>
      <c r="F327" s="17">
        <v>24.24</v>
      </c>
    </row>
    <row r="328" spans="1:6" ht="15" customHeight="1" x14ac:dyDescent="0.25">
      <c r="A328" s="20">
        <v>38101</v>
      </c>
      <c r="B328" s="9" t="s">
        <v>1623</v>
      </c>
      <c r="C328" s="35" t="s">
        <v>979</v>
      </c>
      <c r="D328" s="17">
        <f t="shared" si="5"/>
        <v>7.66</v>
      </c>
      <c r="E328" s="17">
        <v>7.66</v>
      </c>
      <c r="F328" s="17">
        <v>7.66</v>
      </c>
    </row>
    <row r="329" spans="1:6" ht="15" customHeight="1" x14ac:dyDescent="0.25">
      <c r="A329" s="16" t="s">
        <v>454</v>
      </c>
      <c r="B329" s="9" t="s">
        <v>1624</v>
      </c>
      <c r="C329" s="35" t="s">
        <v>979</v>
      </c>
      <c r="D329" s="17">
        <f t="shared" si="5"/>
        <v>82.84</v>
      </c>
      <c r="E329" s="17">
        <v>82.84</v>
      </c>
      <c r="F329" s="17">
        <v>82.84</v>
      </c>
    </row>
    <row r="330" spans="1:6" ht="15" customHeight="1" x14ac:dyDescent="0.25">
      <c r="A330" s="16" t="s">
        <v>310</v>
      </c>
      <c r="B330" s="9" t="s">
        <v>1625</v>
      </c>
      <c r="C330" s="35" t="s">
        <v>979</v>
      </c>
      <c r="D330" s="17">
        <f t="shared" si="5"/>
        <v>2.13</v>
      </c>
      <c r="E330" s="17">
        <v>2.13</v>
      </c>
      <c r="F330" s="17">
        <v>2.13</v>
      </c>
    </row>
    <row r="331" spans="1:6" ht="15" customHeight="1" x14ac:dyDescent="0.25">
      <c r="A331" s="16" t="s">
        <v>810</v>
      </c>
      <c r="B331" s="9" t="s">
        <v>1626</v>
      </c>
      <c r="C331" s="35" t="s">
        <v>979</v>
      </c>
      <c r="D331" s="17">
        <f t="shared" si="5"/>
        <v>17.899999999999999</v>
      </c>
      <c r="E331" s="17">
        <v>17.899999999999999</v>
      </c>
      <c r="F331" s="17">
        <v>17.899999999999999</v>
      </c>
    </row>
    <row r="332" spans="1:6" ht="15" customHeight="1" x14ac:dyDescent="0.25">
      <c r="A332" s="20">
        <v>37371</v>
      </c>
      <c r="B332" s="9" t="s">
        <v>1627</v>
      </c>
      <c r="C332" s="35" t="s">
        <v>981</v>
      </c>
      <c r="D332" s="17">
        <f t="shared" si="5"/>
        <v>0.7</v>
      </c>
      <c r="E332" s="17">
        <v>0.7</v>
      </c>
      <c r="F332" s="17">
        <v>0.7</v>
      </c>
    </row>
    <row r="333" spans="1:6" ht="15" customHeight="1" x14ac:dyDescent="0.25">
      <c r="A333" s="16" t="s">
        <v>633</v>
      </c>
      <c r="B333" s="9" t="s">
        <v>1628</v>
      </c>
      <c r="C333" s="35" t="s">
        <v>979</v>
      </c>
      <c r="D333" s="17">
        <f t="shared" si="5"/>
        <v>5.6</v>
      </c>
      <c r="E333" s="17">
        <v>5.6</v>
      </c>
      <c r="F333" s="17">
        <v>5.6</v>
      </c>
    </row>
    <row r="334" spans="1:6" ht="15" customHeight="1" x14ac:dyDescent="0.25">
      <c r="A334" s="20">
        <v>21015</v>
      </c>
      <c r="B334" s="9" t="s">
        <v>1629</v>
      </c>
      <c r="C334" s="35" t="s">
        <v>970</v>
      </c>
      <c r="D334" s="17">
        <f t="shared" si="5"/>
        <v>154.88</v>
      </c>
      <c r="E334" s="17">
        <v>154.88</v>
      </c>
      <c r="F334" s="17">
        <v>154.88</v>
      </c>
    </row>
    <row r="335" spans="1:6" ht="15" customHeight="1" x14ac:dyDescent="0.25">
      <c r="A335" s="20">
        <v>9813</v>
      </c>
      <c r="B335" s="9" t="s">
        <v>1630</v>
      </c>
      <c r="C335" s="35" t="s">
        <v>970</v>
      </c>
      <c r="D335" s="17">
        <f t="shared" si="5"/>
        <v>5.5</v>
      </c>
      <c r="E335" s="17">
        <v>5.5</v>
      </c>
      <c r="F335" s="17">
        <v>5.5</v>
      </c>
    </row>
    <row r="336" spans="1:6" ht="15" customHeight="1" x14ac:dyDescent="0.25">
      <c r="A336" s="20">
        <v>9836</v>
      </c>
      <c r="B336" s="9" t="s">
        <v>1631</v>
      </c>
      <c r="C336" s="35" t="s">
        <v>970</v>
      </c>
      <c r="D336" s="17">
        <f t="shared" si="5"/>
        <v>13.98</v>
      </c>
      <c r="E336" s="17">
        <v>13.98</v>
      </c>
      <c r="F336" s="17">
        <v>13.98</v>
      </c>
    </row>
    <row r="337" spans="1:6" ht="15" customHeight="1" x14ac:dyDescent="0.25">
      <c r="A337" s="20">
        <v>9835</v>
      </c>
      <c r="B337" s="9" t="s">
        <v>1632</v>
      </c>
      <c r="C337" s="35" t="s">
        <v>970</v>
      </c>
      <c r="D337" s="17">
        <f t="shared" si="5"/>
        <v>5.04</v>
      </c>
      <c r="E337" s="17">
        <v>5.04</v>
      </c>
      <c r="F337" s="17">
        <v>5.04</v>
      </c>
    </row>
    <row r="338" spans="1:6" ht="15" customHeight="1" x14ac:dyDescent="0.25">
      <c r="A338" s="16" t="s">
        <v>704</v>
      </c>
      <c r="B338" s="9" t="s">
        <v>1633</v>
      </c>
      <c r="C338" s="35" t="s">
        <v>970</v>
      </c>
      <c r="D338" s="17">
        <f t="shared" si="5"/>
        <v>10.84</v>
      </c>
      <c r="E338" s="17">
        <v>10.84</v>
      </c>
      <c r="F338" s="17">
        <v>10.84</v>
      </c>
    </row>
    <row r="339" spans="1:6" ht="15" customHeight="1" x14ac:dyDescent="0.25">
      <c r="A339" s="20">
        <v>9856</v>
      </c>
      <c r="B339" s="9" t="s">
        <v>1634</v>
      </c>
      <c r="C339" s="35" t="s">
        <v>970</v>
      </c>
      <c r="D339" s="17">
        <f t="shared" si="5"/>
        <v>7.8</v>
      </c>
      <c r="E339" s="17">
        <v>7.8</v>
      </c>
      <c r="F339" s="17">
        <v>7.8</v>
      </c>
    </row>
    <row r="340" spans="1:6" ht="15" customHeight="1" x14ac:dyDescent="0.25">
      <c r="A340" s="20">
        <v>9868</v>
      </c>
      <c r="B340" s="9" t="s">
        <v>1635</v>
      </c>
      <c r="C340" s="35" t="s">
        <v>970</v>
      </c>
      <c r="D340" s="17">
        <f t="shared" si="5"/>
        <v>4.0999999999999996</v>
      </c>
      <c r="E340" s="17">
        <v>4.0999999999999996</v>
      </c>
      <c r="F340" s="17">
        <v>4.0999999999999996</v>
      </c>
    </row>
    <row r="341" spans="1:6" ht="15" customHeight="1" x14ac:dyDescent="0.25">
      <c r="A341" s="16" t="s">
        <v>311</v>
      </c>
      <c r="B341" s="9" t="s">
        <v>1636</v>
      </c>
      <c r="C341" s="35" t="s">
        <v>979</v>
      </c>
      <c r="D341" s="17">
        <f t="shared" si="5"/>
        <v>7.56</v>
      </c>
      <c r="E341" s="17">
        <v>7.56</v>
      </c>
      <c r="F341" s="17">
        <v>7.56</v>
      </c>
    </row>
    <row r="342" spans="1:6" ht="15" customHeight="1" x14ac:dyDescent="0.25">
      <c r="A342" s="16" t="s">
        <v>522</v>
      </c>
      <c r="B342" s="9" t="s">
        <v>1637</v>
      </c>
      <c r="C342" s="35" t="s">
        <v>979</v>
      </c>
      <c r="D342" s="17">
        <f t="shared" si="5"/>
        <v>4</v>
      </c>
      <c r="E342" s="17">
        <v>4</v>
      </c>
      <c r="F342" s="17">
        <v>4</v>
      </c>
    </row>
    <row r="343" spans="1:6" ht="15" customHeight="1" x14ac:dyDescent="0.25">
      <c r="A343" s="16" t="s">
        <v>455</v>
      </c>
      <c r="B343" s="9" t="s">
        <v>1638</v>
      </c>
      <c r="C343" s="35" t="s">
        <v>979</v>
      </c>
      <c r="D343" s="17">
        <f t="shared" si="5"/>
        <v>43.98</v>
      </c>
      <c r="E343" s="17">
        <v>43.98</v>
      </c>
      <c r="F343" s="17">
        <v>43.98</v>
      </c>
    </row>
    <row r="344" spans="1:6" ht="15" customHeight="1" x14ac:dyDescent="0.25">
      <c r="A344" s="16" t="s">
        <v>499</v>
      </c>
      <c r="B344" s="9" t="s">
        <v>1639</v>
      </c>
      <c r="C344" s="35" t="s">
        <v>979</v>
      </c>
      <c r="D344" s="17">
        <f t="shared" si="5"/>
        <v>10.5</v>
      </c>
      <c r="E344" s="17">
        <v>10.5</v>
      </c>
      <c r="F344" s="17">
        <v>10.5</v>
      </c>
    </row>
    <row r="345" spans="1:6" ht="15" customHeight="1" x14ac:dyDescent="0.25">
      <c r="A345" s="20">
        <v>6138</v>
      </c>
      <c r="B345" s="9" t="s">
        <v>1640</v>
      </c>
      <c r="C345" s="35" t="s">
        <v>979</v>
      </c>
      <c r="D345" s="17">
        <f t="shared" si="5"/>
        <v>1.6</v>
      </c>
      <c r="E345" s="17">
        <v>1.6</v>
      </c>
      <c r="F345" s="17">
        <v>1.6</v>
      </c>
    </row>
    <row r="346" spans="1:6" ht="15" customHeight="1" x14ac:dyDescent="0.25">
      <c r="A346" s="20">
        <v>13896</v>
      </c>
      <c r="B346" s="9" t="s">
        <v>1641</v>
      </c>
      <c r="C346" s="35" t="s">
        <v>979</v>
      </c>
      <c r="D346" s="17">
        <f t="shared" si="5"/>
        <v>3139.8</v>
      </c>
      <c r="E346" s="17">
        <v>3139.8</v>
      </c>
      <c r="F346" s="17">
        <v>3139.8</v>
      </c>
    </row>
    <row r="347" spans="1:6" ht="15" customHeight="1" x14ac:dyDescent="0.25">
      <c r="A347" s="16" t="s">
        <v>391</v>
      </c>
      <c r="B347" s="9" t="s">
        <v>1642</v>
      </c>
      <c r="C347" s="35" t="s">
        <v>219</v>
      </c>
      <c r="D347" s="17">
        <f t="shared" si="5"/>
        <v>235.46</v>
      </c>
      <c r="E347" s="17">
        <v>235.46</v>
      </c>
      <c r="F347" s="17">
        <v>235.46</v>
      </c>
    </row>
    <row r="348" spans="1:6" ht="15" customHeight="1" x14ac:dyDescent="0.25">
      <c r="A348" s="20">
        <v>40270</v>
      </c>
      <c r="B348" s="9" t="s">
        <v>1643</v>
      </c>
      <c r="C348" s="35" t="s">
        <v>970</v>
      </c>
      <c r="D348" s="17">
        <f t="shared" si="5"/>
        <v>69.73</v>
      </c>
      <c r="E348" s="17">
        <v>69.73</v>
      </c>
      <c r="F348" s="17">
        <v>69.73</v>
      </c>
    </row>
    <row r="349" spans="1:6" ht="15" customHeight="1" x14ac:dyDescent="0.25">
      <c r="A349" s="20">
        <v>4425</v>
      </c>
      <c r="B349" s="9" t="s">
        <v>1644</v>
      </c>
      <c r="C349" s="35" t="s">
        <v>970</v>
      </c>
      <c r="D349" s="17">
        <f t="shared" si="5"/>
        <v>20.09</v>
      </c>
      <c r="E349" s="17">
        <v>20.09</v>
      </c>
      <c r="F349" s="17">
        <v>20.09</v>
      </c>
    </row>
    <row r="350" spans="1:6" ht="15" customHeight="1" x14ac:dyDescent="0.25">
      <c r="A350" s="20">
        <v>4472</v>
      </c>
      <c r="B350" s="9" t="s">
        <v>1645</v>
      </c>
      <c r="C350" s="35" t="s">
        <v>970</v>
      </c>
      <c r="D350" s="17">
        <f t="shared" si="5"/>
        <v>25.1</v>
      </c>
      <c r="E350" s="17">
        <v>25.1</v>
      </c>
      <c r="F350" s="17">
        <v>25.1</v>
      </c>
    </row>
  </sheetData>
  <pageMargins left="0.511811024" right="0.511811024" top="0.78740157499999996" bottom="0.78740157499999996" header="0.31496062000000002" footer="0.31496062000000002"/>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00" zoomScaleSheetLayoutView="100" workbookViewId="0">
      <selection activeCell="A2" sqref="A2:K2"/>
    </sheetView>
  </sheetViews>
  <sheetFormatPr defaultRowHeight="15" customHeight="1" x14ac:dyDescent="0.25"/>
  <cols>
    <col min="1" max="1" width="12" style="1" customWidth="1"/>
    <col min="2" max="2" width="8" style="1" customWidth="1"/>
    <col min="3" max="3" width="4" style="1" customWidth="1"/>
    <col min="4" max="4" width="8" style="1" customWidth="1"/>
    <col min="5" max="6" width="21.85546875" style="1" customWidth="1"/>
    <col min="7" max="7" width="16" style="1" customWidth="1"/>
    <col min="8" max="9" width="7" style="1" customWidth="1"/>
    <col min="10" max="10" width="16.140625" style="1" customWidth="1"/>
    <col min="11" max="11" width="12.42578125" style="1" customWidth="1"/>
    <col min="12" max="16384" width="9.140625" style="1"/>
  </cols>
  <sheetData>
    <row r="1" spans="1:11" ht="15" customHeight="1" x14ac:dyDescent="0.25">
      <c r="A1" s="52" t="str">
        <f>CIDADE</f>
        <v>MUNICÍPIO DE PICOS - PI</v>
      </c>
      <c r="B1" s="52"/>
      <c r="C1" s="52"/>
      <c r="D1" s="52"/>
      <c r="E1" s="52"/>
      <c r="F1" s="52"/>
      <c r="G1" s="52"/>
      <c r="H1" s="52"/>
      <c r="I1" s="52"/>
      <c r="J1" s="52"/>
      <c r="K1" s="52"/>
    </row>
    <row r="2" spans="1:11" ht="15" customHeight="1" x14ac:dyDescent="0.25">
      <c r="A2" s="52" t="str">
        <f>OBRA</f>
        <v>AMPLIAÇÃO ANTIGO PRÉDIO IAPEP PICOS</v>
      </c>
      <c r="B2" s="52"/>
      <c r="C2" s="52"/>
      <c r="D2" s="52"/>
      <c r="E2" s="52"/>
      <c r="F2" s="52"/>
      <c r="G2" s="52"/>
      <c r="H2" s="52"/>
      <c r="I2" s="52"/>
      <c r="J2" s="52"/>
      <c r="K2" s="52"/>
    </row>
    <row r="3" spans="1:11" ht="15" customHeight="1" x14ac:dyDescent="0.25">
      <c r="A3" s="52" t="s">
        <v>18</v>
      </c>
      <c r="B3" s="52"/>
      <c r="C3" s="52"/>
      <c r="D3" s="52"/>
      <c r="E3" s="52"/>
      <c r="F3" s="52"/>
      <c r="G3" s="52"/>
      <c r="H3" s="52"/>
      <c r="I3" s="52"/>
      <c r="J3" s="52"/>
      <c r="K3" s="52"/>
    </row>
    <row r="4" spans="1:11" ht="15" customHeight="1" x14ac:dyDescent="0.25">
      <c r="A4" s="3"/>
      <c r="B4" s="3"/>
      <c r="C4" s="3"/>
      <c r="D4" s="3"/>
      <c r="E4" s="3"/>
      <c r="F4" s="3"/>
      <c r="G4" s="3"/>
      <c r="H4" s="3"/>
      <c r="I4" s="3"/>
      <c r="J4" s="3"/>
      <c r="K4" s="3"/>
    </row>
    <row r="5" spans="1:11" ht="15" customHeight="1" x14ac:dyDescent="0.25">
      <c r="A5" s="2" t="s">
        <v>3</v>
      </c>
      <c r="B5" s="4" t="str">
        <f>FONTE&amp;ONERA</f>
        <v>SINAPI PI-06/2021, SEINFRA 27, ORSE-06/2021, SEM DESONERAÇÃO</v>
      </c>
      <c r="C5" s="2"/>
      <c r="D5" s="2"/>
      <c r="E5" s="2"/>
      <c r="F5" s="3"/>
      <c r="G5" s="2" t="s">
        <v>5</v>
      </c>
      <c r="H5" s="5">
        <f>LEI</f>
        <v>112.14999999999999</v>
      </c>
      <c r="I5" s="3"/>
      <c r="J5" s="2" t="s">
        <v>6</v>
      </c>
      <c r="K5" s="5">
        <f>BDI</f>
        <v>20.8</v>
      </c>
    </row>
    <row r="6" spans="1:11" ht="15" customHeight="1" x14ac:dyDescent="0.25">
      <c r="A6" s="10" t="s">
        <v>19</v>
      </c>
      <c r="B6" s="59" t="s">
        <v>7</v>
      </c>
      <c r="C6" s="60"/>
      <c r="D6" s="60"/>
      <c r="E6" s="60"/>
      <c r="F6" s="60"/>
      <c r="G6" s="60"/>
      <c r="H6" s="60"/>
      <c r="I6" s="61"/>
      <c r="J6" s="10" t="s">
        <v>9</v>
      </c>
      <c r="K6" s="10" t="s">
        <v>20</v>
      </c>
    </row>
    <row r="7" spans="1:11" ht="15" customHeight="1" x14ac:dyDescent="0.25">
      <c r="A7" s="11">
        <v>1</v>
      </c>
      <c r="B7" s="53" t="str">
        <f>VLOOKUP(A7,ORCAMENTO!A:L,2,FALSE)</f>
        <v>ADMINISTRAÇÃO LOCAL DE OBRA</v>
      </c>
      <c r="C7" s="54"/>
      <c r="D7" s="54"/>
      <c r="E7" s="54"/>
      <c r="F7" s="54"/>
      <c r="G7" s="54"/>
      <c r="H7" s="54"/>
      <c r="I7" s="55"/>
      <c r="J7" s="7">
        <f>VLOOKUP(A7,ORCAMENTO!A:L,11,FALSE)</f>
        <v>10070.66</v>
      </c>
      <c r="K7" s="12">
        <f t="shared" ref="K7:K21" si="0">J7/$J$22</f>
        <v>3.9722208888127539E-2</v>
      </c>
    </row>
    <row r="8" spans="1:11" ht="15" customHeight="1" x14ac:dyDescent="0.25">
      <c r="A8" s="11">
        <v>2</v>
      </c>
      <c r="B8" s="53" t="str">
        <f>VLOOKUP(A8,ORCAMENTO!A:L,2,FALSE)</f>
        <v>SERVIÇOS PRELIMINARES</v>
      </c>
      <c r="C8" s="54"/>
      <c r="D8" s="54"/>
      <c r="E8" s="54"/>
      <c r="F8" s="54"/>
      <c r="G8" s="54"/>
      <c r="H8" s="54"/>
      <c r="I8" s="55"/>
      <c r="J8" s="7">
        <f>VLOOKUP(A8,ORCAMENTO!A:L,11,FALSE)</f>
        <v>9778.35</v>
      </c>
      <c r="K8" s="12">
        <f t="shared" si="0"/>
        <v>3.8569235907201904E-2</v>
      </c>
    </row>
    <row r="9" spans="1:11" ht="15" customHeight="1" x14ac:dyDescent="0.25">
      <c r="A9" s="11">
        <v>3</v>
      </c>
      <c r="B9" s="53" t="str">
        <f>VLOOKUP(A9,ORCAMENTO!A:L,2,FALSE)</f>
        <v>movimentação de terra / fundações</v>
      </c>
      <c r="C9" s="54"/>
      <c r="D9" s="54"/>
      <c r="E9" s="54"/>
      <c r="F9" s="54"/>
      <c r="G9" s="54"/>
      <c r="H9" s="54"/>
      <c r="I9" s="55"/>
      <c r="J9" s="7">
        <f>VLOOKUP(A9,ORCAMENTO!A:L,11,FALSE)</f>
        <v>20396.86</v>
      </c>
      <c r="K9" s="12">
        <f t="shared" si="0"/>
        <v>8.0452357003601857E-2</v>
      </c>
    </row>
    <row r="10" spans="1:11" ht="15" customHeight="1" x14ac:dyDescent="0.25">
      <c r="A10" s="11">
        <v>4</v>
      </c>
      <c r="B10" s="53" t="str">
        <f>VLOOKUP(A10,ORCAMENTO!A:L,2,FALSE)</f>
        <v>estrutural</v>
      </c>
      <c r="C10" s="54"/>
      <c r="D10" s="54"/>
      <c r="E10" s="54"/>
      <c r="F10" s="54"/>
      <c r="G10" s="54"/>
      <c r="H10" s="54"/>
      <c r="I10" s="55"/>
      <c r="J10" s="7">
        <f>VLOOKUP(A10,ORCAMENTO!A:L,11,FALSE)</f>
        <v>29124.879999999997</v>
      </c>
      <c r="K10" s="12">
        <f t="shared" si="0"/>
        <v>0.11487872365879176</v>
      </c>
    </row>
    <row r="11" spans="1:11" ht="15" customHeight="1" x14ac:dyDescent="0.25">
      <c r="A11" s="11">
        <v>5</v>
      </c>
      <c r="B11" s="53" t="str">
        <f>VLOOKUP(A11,ORCAMENTO!A:L,2,FALSE)</f>
        <v>cobertura</v>
      </c>
      <c r="C11" s="54"/>
      <c r="D11" s="54"/>
      <c r="E11" s="54"/>
      <c r="F11" s="54"/>
      <c r="G11" s="54"/>
      <c r="H11" s="54"/>
      <c r="I11" s="55"/>
      <c r="J11" s="7">
        <f>VLOOKUP(A11,ORCAMENTO!A:L,11,FALSE)</f>
        <v>37342.79</v>
      </c>
      <c r="K11" s="12">
        <f t="shared" si="0"/>
        <v>0.14729303787889575</v>
      </c>
    </row>
    <row r="12" spans="1:11" ht="15" customHeight="1" x14ac:dyDescent="0.25">
      <c r="A12" s="11">
        <v>6</v>
      </c>
      <c r="B12" s="53" t="str">
        <f>VLOOKUP(A12,ORCAMENTO!A:L,2,FALSE)</f>
        <v>revestimentos</v>
      </c>
      <c r="C12" s="54"/>
      <c r="D12" s="54"/>
      <c r="E12" s="54"/>
      <c r="F12" s="54"/>
      <c r="G12" s="54"/>
      <c r="H12" s="54"/>
      <c r="I12" s="55"/>
      <c r="J12" s="7">
        <f>VLOOKUP(A12,ORCAMENTO!A:L,11,FALSE)</f>
        <v>67071.11</v>
      </c>
      <c r="K12" s="12">
        <f t="shared" si="0"/>
        <v>0.26455194016862643</v>
      </c>
    </row>
    <row r="13" spans="1:11" ht="15" customHeight="1" x14ac:dyDescent="0.25">
      <c r="A13" s="11">
        <v>7</v>
      </c>
      <c r="B13" s="53" t="str">
        <f>VLOOKUP(A13,ORCAMENTO!A:L,2,FALSE)</f>
        <v>pisos e calçadas</v>
      </c>
      <c r="C13" s="54"/>
      <c r="D13" s="54"/>
      <c r="E13" s="54"/>
      <c r="F13" s="54"/>
      <c r="G13" s="54"/>
      <c r="H13" s="54"/>
      <c r="I13" s="55"/>
      <c r="J13" s="7">
        <f>VLOOKUP(A13,ORCAMENTO!A:L,11,FALSE)</f>
        <v>20596.330000000002</v>
      </c>
      <c r="K13" s="12">
        <f t="shared" si="0"/>
        <v>8.123913652022885E-2</v>
      </c>
    </row>
    <row r="14" spans="1:11" ht="15" customHeight="1" x14ac:dyDescent="0.25">
      <c r="A14" s="11">
        <v>8</v>
      </c>
      <c r="B14" s="53" t="str">
        <f>VLOOKUP(A14,ORCAMENTO!A:L,2,FALSE)</f>
        <v>esquadrias</v>
      </c>
      <c r="C14" s="54"/>
      <c r="D14" s="54"/>
      <c r="E14" s="54"/>
      <c r="F14" s="54"/>
      <c r="G14" s="54"/>
      <c r="H14" s="54"/>
      <c r="I14" s="55"/>
      <c r="J14" s="7">
        <f>VLOOKUP(A14,ORCAMENTO!A:L,11,FALSE)</f>
        <v>23786.650000000005</v>
      </c>
      <c r="K14" s="12">
        <f t="shared" si="0"/>
        <v>9.3822875566127645E-2</v>
      </c>
    </row>
    <row r="15" spans="1:11" ht="15" customHeight="1" x14ac:dyDescent="0.25">
      <c r="A15" s="11">
        <v>9</v>
      </c>
      <c r="B15" s="53" t="str">
        <f>VLOOKUP(A15,ORCAMENTO!A:L,2,FALSE)</f>
        <v>pintura</v>
      </c>
      <c r="C15" s="54"/>
      <c r="D15" s="54"/>
      <c r="E15" s="54"/>
      <c r="F15" s="54"/>
      <c r="G15" s="54"/>
      <c r="H15" s="54"/>
      <c r="I15" s="55"/>
      <c r="J15" s="7">
        <f>VLOOKUP(A15,ORCAMENTO!A:L,11,FALSE)</f>
        <v>6674.8499999999995</v>
      </c>
      <c r="K15" s="12">
        <f t="shared" si="0"/>
        <v>2.6327945337933964E-2</v>
      </c>
    </row>
    <row r="16" spans="1:11" ht="15" customHeight="1" x14ac:dyDescent="0.25">
      <c r="A16" s="11">
        <v>10</v>
      </c>
      <c r="B16" s="53" t="str">
        <f>VLOOKUP(A16,ORCAMENTO!A:L,2,FALSE)</f>
        <v>instalações hidraulicas</v>
      </c>
      <c r="C16" s="54"/>
      <c r="D16" s="54"/>
      <c r="E16" s="54"/>
      <c r="F16" s="54"/>
      <c r="G16" s="54"/>
      <c r="H16" s="54"/>
      <c r="I16" s="55"/>
      <c r="J16" s="7">
        <f>VLOOKUP(A16,ORCAMENTO!A:L,11,FALSE)</f>
        <v>4145.18</v>
      </c>
      <c r="K16" s="12">
        <f t="shared" si="0"/>
        <v>1.6350041192820384E-2</v>
      </c>
    </row>
    <row r="17" spans="1:11" ht="15" customHeight="1" x14ac:dyDescent="0.25">
      <c r="A17" s="11">
        <v>11</v>
      </c>
      <c r="B17" s="53" t="str">
        <f>VLOOKUP(A17,ORCAMENTO!A:L,2,FALSE)</f>
        <v>instalações sanitarias</v>
      </c>
      <c r="C17" s="54"/>
      <c r="D17" s="54"/>
      <c r="E17" s="54"/>
      <c r="F17" s="54"/>
      <c r="G17" s="54"/>
      <c r="H17" s="54"/>
      <c r="I17" s="55"/>
      <c r="J17" s="7">
        <f>VLOOKUP(A17,ORCAMENTO!A:L,11,FALSE)</f>
        <v>7516.6</v>
      </c>
      <c r="K17" s="12">
        <f t="shared" si="0"/>
        <v>2.9648102043808397E-2</v>
      </c>
    </row>
    <row r="18" spans="1:11" ht="15" customHeight="1" x14ac:dyDescent="0.25">
      <c r="A18" s="11">
        <v>12</v>
      </c>
      <c r="B18" s="53" t="str">
        <f>VLOOKUP(A18,ORCAMENTO!A:L,2,FALSE)</f>
        <v>louças e metais</v>
      </c>
      <c r="C18" s="54"/>
      <c r="D18" s="54"/>
      <c r="E18" s="54"/>
      <c r="F18" s="54"/>
      <c r="G18" s="54"/>
      <c r="H18" s="54"/>
      <c r="I18" s="55"/>
      <c r="J18" s="7">
        <f>VLOOKUP(A18,ORCAMENTO!A:L,11,FALSE)</f>
        <v>5468.94</v>
      </c>
      <c r="K18" s="12">
        <f t="shared" si="0"/>
        <v>2.1571414095663662E-2</v>
      </c>
    </row>
    <row r="19" spans="1:11" ht="15" customHeight="1" x14ac:dyDescent="0.25">
      <c r="A19" s="11">
        <v>13</v>
      </c>
      <c r="B19" s="53" t="str">
        <f>VLOOKUP(A19,ORCAMENTO!A:L,2,FALSE)</f>
        <v>instalações eletricas</v>
      </c>
      <c r="C19" s="54"/>
      <c r="D19" s="54"/>
      <c r="E19" s="54"/>
      <c r="F19" s="54"/>
      <c r="G19" s="54"/>
      <c r="H19" s="54"/>
      <c r="I19" s="55"/>
      <c r="J19" s="7">
        <f>VLOOKUP(A19,ORCAMENTO!A:L,11,FALSE)</f>
        <v>8911.76</v>
      </c>
      <c r="K19" s="12">
        <f t="shared" si="0"/>
        <v>3.5151101544572003E-2</v>
      </c>
    </row>
    <row r="20" spans="1:11" ht="15" customHeight="1" x14ac:dyDescent="0.25">
      <c r="A20" s="11">
        <v>14</v>
      </c>
      <c r="B20" s="53" t="str">
        <f>VLOOKUP(A20,ORCAMENTO!A:L,2,FALSE)</f>
        <v>adaptação predio existente</v>
      </c>
      <c r="C20" s="54"/>
      <c r="D20" s="54"/>
      <c r="E20" s="54"/>
      <c r="F20" s="54"/>
      <c r="G20" s="54"/>
      <c r="H20" s="54"/>
      <c r="I20" s="55"/>
      <c r="J20" s="7">
        <f>VLOOKUP(A20,ORCAMENTO!A:L,11,FALSE)</f>
        <v>357.83000000000004</v>
      </c>
      <c r="K20" s="12">
        <f t="shared" si="0"/>
        <v>1.4114068001936991E-3</v>
      </c>
    </row>
    <row r="21" spans="1:11" ht="15" customHeight="1" x14ac:dyDescent="0.25">
      <c r="A21" s="11">
        <v>15</v>
      </c>
      <c r="B21" s="53" t="str">
        <f>VLOOKUP(A21,ORCAMENTO!A:L,2,FALSE)</f>
        <v>serviços finais</v>
      </c>
      <c r="C21" s="54"/>
      <c r="D21" s="54"/>
      <c r="E21" s="54"/>
      <c r="F21" s="54"/>
      <c r="G21" s="54"/>
      <c r="H21" s="54"/>
      <c r="I21" s="55"/>
      <c r="J21" s="7">
        <f>VLOOKUP(A21,ORCAMENTO!A:L,11,FALSE)</f>
        <v>2284.4</v>
      </c>
      <c r="K21" s="12">
        <f t="shared" si="0"/>
        <v>9.0104733934060471E-3</v>
      </c>
    </row>
    <row r="22" spans="1:11" ht="15" customHeight="1" x14ac:dyDescent="0.25">
      <c r="A22" s="56" t="s">
        <v>21</v>
      </c>
      <c r="B22" s="57"/>
      <c r="C22" s="57"/>
      <c r="D22" s="57"/>
      <c r="E22" s="57"/>
      <c r="F22" s="57"/>
      <c r="G22" s="57"/>
      <c r="H22" s="57"/>
      <c r="I22" s="58"/>
      <c r="J22" s="13">
        <f>SUM(J7:J21)</f>
        <v>253527.19000000003</v>
      </c>
      <c r="K22" s="14">
        <f>SUM(K7:K21)</f>
        <v>0.99999999999999978</v>
      </c>
    </row>
    <row r="23" spans="1:11" ht="15" customHeight="1" x14ac:dyDescent="0.25">
      <c r="A23" s="3"/>
      <c r="B23" s="3"/>
      <c r="C23" s="3"/>
      <c r="D23" s="3"/>
      <c r="E23" s="3"/>
      <c r="F23" s="3"/>
      <c r="G23" s="3"/>
      <c r="H23" s="3"/>
      <c r="I23" s="3"/>
      <c r="J23" s="2" t="s">
        <v>11</v>
      </c>
      <c r="K23" s="2" t="s">
        <v>11</v>
      </c>
    </row>
    <row r="24" spans="1:11" ht="15" customHeight="1" x14ac:dyDescent="0.25">
      <c r="A24" s="3"/>
      <c r="B24" s="3"/>
      <c r="C24" s="3"/>
      <c r="D24" s="3"/>
      <c r="E24" s="3"/>
      <c r="F24" s="3"/>
      <c r="G24" s="3"/>
      <c r="H24" s="3"/>
      <c r="I24" s="3"/>
      <c r="J24" s="2" t="s">
        <v>11</v>
      </c>
      <c r="K24" s="2" t="s">
        <v>11</v>
      </c>
    </row>
  </sheetData>
  <sheetProtection formatCells="0" formatColumns="0" formatRows="0" insertColumns="0" insertRows="0" insertHyperlinks="0" deleteColumns="0" deleteRows="0" sort="0" autoFilter="0" pivotTables="0"/>
  <mergeCells count="20">
    <mergeCell ref="B14:I14"/>
    <mergeCell ref="A1:K1"/>
    <mergeCell ref="A2:K2"/>
    <mergeCell ref="A3:K3"/>
    <mergeCell ref="B6:I6"/>
    <mergeCell ref="B7:I7"/>
    <mergeCell ref="B8:I8"/>
    <mergeCell ref="B9:I9"/>
    <mergeCell ref="B10:I10"/>
    <mergeCell ref="B11:I11"/>
    <mergeCell ref="B12:I12"/>
    <mergeCell ref="B13:I13"/>
    <mergeCell ref="B21:I21"/>
    <mergeCell ref="A22:I22"/>
    <mergeCell ref="B15:I15"/>
    <mergeCell ref="B16:I16"/>
    <mergeCell ref="B17:I17"/>
    <mergeCell ref="B18:I18"/>
    <mergeCell ref="B19:I19"/>
    <mergeCell ref="B20:I20"/>
  </mergeCell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view="pageBreakPreview" zoomScale="90" zoomScaleNormal="90" zoomScaleSheetLayoutView="90" workbookViewId="0">
      <selection activeCell="G34" sqref="G34"/>
    </sheetView>
  </sheetViews>
  <sheetFormatPr defaultRowHeight="15" customHeight="1" x14ac:dyDescent="0.25"/>
  <cols>
    <col min="1" max="1" width="12" style="1" customWidth="1"/>
    <col min="2" max="2" width="8" style="1" customWidth="1"/>
    <col min="3" max="3" width="4" style="1" customWidth="1"/>
    <col min="4" max="4" width="8.42578125" style="1" customWidth="1"/>
    <col min="5" max="5" width="20" style="1" customWidth="1"/>
    <col min="6" max="6" width="21" style="1" customWidth="1"/>
    <col min="7" max="7" width="17.140625" style="1" customWidth="1"/>
    <col min="8" max="8" width="11.42578125" style="1" customWidth="1"/>
    <col min="9" max="9" width="17.140625" style="1" customWidth="1"/>
    <col min="10" max="10" width="11" style="1" customWidth="1"/>
    <col min="11" max="11" width="17.140625" style="1" customWidth="1"/>
    <col min="12" max="12" width="11" style="1" customWidth="1"/>
    <col min="13" max="13" width="17.140625" style="1" customWidth="1"/>
    <col min="14" max="14" width="11" style="1" customWidth="1"/>
    <col min="15" max="15" width="17.140625" style="1" customWidth="1"/>
    <col min="16" max="17" width="11" style="1" customWidth="1"/>
    <col min="18" max="16384" width="9.140625" style="1"/>
  </cols>
  <sheetData>
    <row r="1" spans="1:17" ht="15" customHeight="1" x14ac:dyDescent="0.25">
      <c r="A1" s="52" t="str">
        <f>CIDADE</f>
        <v>MUNICÍPIO DE PICOS - PI</v>
      </c>
      <c r="B1" s="52"/>
      <c r="C1" s="52"/>
      <c r="D1" s="52"/>
      <c r="E1" s="52"/>
      <c r="F1" s="52"/>
      <c r="G1" s="52"/>
      <c r="H1" s="52"/>
      <c r="I1" s="52"/>
      <c r="J1" s="52"/>
      <c r="K1" s="52"/>
      <c r="L1" s="52"/>
      <c r="M1" s="52"/>
      <c r="N1" s="52"/>
      <c r="O1" s="52"/>
      <c r="P1" s="52"/>
      <c r="Q1" s="52"/>
    </row>
    <row r="2" spans="1:17" ht="15" customHeight="1" x14ac:dyDescent="0.25">
      <c r="A2" s="52" t="str">
        <f>OBRA</f>
        <v>AMPLIAÇÃO ANTIGO PRÉDIO IAPEP PICOS</v>
      </c>
      <c r="B2" s="52"/>
      <c r="C2" s="52"/>
      <c r="D2" s="52"/>
      <c r="E2" s="52"/>
      <c r="F2" s="52"/>
      <c r="G2" s="52"/>
      <c r="H2" s="52"/>
      <c r="I2" s="52"/>
      <c r="J2" s="52"/>
      <c r="K2" s="52"/>
      <c r="L2" s="52"/>
      <c r="M2" s="52"/>
      <c r="N2" s="52"/>
      <c r="O2" s="52"/>
      <c r="P2" s="52"/>
      <c r="Q2" s="52"/>
    </row>
    <row r="3" spans="1:17" ht="15" customHeight="1" x14ac:dyDescent="0.25">
      <c r="A3" s="52" t="s">
        <v>22</v>
      </c>
      <c r="B3" s="52"/>
      <c r="C3" s="52"/>
      <c r="D3" s="52"/>
      <c r="E3" s="52"/>
      <c r="F3" s="52"/>
      <c r="G3" s="52"/>
      <c r="H3" s="52"/>
      <c r="I3" s="52"/>
      <c r="J3" s="52"/>
      <c r="K3" s="52"/>
      <c r="L3" s="52"/>
      <c r="M3" s="52"/>
      <c r="N3" s="52"/>
      <c r="O3" s="52"/>
      <c r="P3" s="52"/>
      <c r="Q3" s="52"/>
    </row>
    <row r="4" spans="1:17" ht="15" customHeight="1" x14ac:dyDescent="0.25">
      <c r="A4" s="3"/>
      <c r="B4" s="3"/>
      <c r="C4" s="3"/>
      <c r="D4" s="3"/>
      <c r="E4" s="3"/>
      <c r="F4" s="3"/>
      <c r="G4" s="3"/>
      <c r="H4" s="3"/>
      <c r="I4" s="3"/>
      <c r="J4" s="3"/>
      <c r="K4" s="3"/>
      <c r="L4" s="3"/>
      <c r="M4" s="3"/>
      <c r="N4" s="3"/>
      <c r="O4" s="3"/>
      <c r="P4" s="3"/>
      <c r="Q4" s="3"/>
    </row>
    <row r="5" spans="1:17" ht="15" customHeight="1" x14ac:dyDescent="0.25">
      <c r="A5" s="2" t="s">
        <v>3</v>
      </c>
      <c r="B5" s="4" t="str">
        <f>FONTE&amp;ONERA</f>
        <v>SINAPI PI-06/2021, SEINFRA 27, ORSE-06/2021, SEM DESONERAÇÃO</v>
      </c>
      <c r="C5" s="2"/>
      <c r="D5" s="2"/>
      <c r="E5" s="2"/>
      <c r="F5" s="3"/>
      <c r="G5" s="2" t="s">
        <v>5</v>
      </c>
      <c r="H5" s="5">
        <f>LEI</f>
        <v>112.14999999999999</v>
      </c>
      <c r="I5" s="3"/>
      <c r="J5" s="3"/>
      <c r="K5" s="3"/>
      <c r="L5" s="3"/>
      <c r="M5" s="3"/>
      <c r="N5" s="3"/>
      <c r="O5" s="3"/>
      <c r="P5" s="2" t="s">
        <v>6</v>
      </c>
      <c r="Q5" s="5">
        <f>BDI</f>
        <v>20.8</v>
      </c>
    </row>
    <row r="6" spans="1:17" ht="15" customHeight="1" x14ac:dyDescent="0.25">
      <c r="A6" s="66" t="s">
        <v>19</v>
      </c>
      <c r="B6" s="59" t="s">
        <v>7</v>
      </c>
      <c r="C6" s="60"/>
      <c r="D6" s="60"/>
      <c r="E6" s="60"/>
      <c r="F6" s="61"/>
      <c r="G6" s="66" t="s">
        <v>9</v>
      </c>
      <c r="H6" s="66" t="s">
        <v>20</v>
      </c>
      <c r="I6" s="59" t="s">
        <v>23</v>
      </c>
      <c r="J6" s="61"/>
      <c r="K6" s="59" t="s">
        <v>24</v>
      </c>
      <c r="L6" s="61"/>
      <c r="M6" s="59" t="s">
        <v>25</v>
      </c>
      <c r="N6" s="61"/>
      <c r="O6" s="66" t="s">
        <v>9</v>
      </c>
      <c r="P6" s="56" t="s">
        <v>20</v>
      </c>
      <c r="Q6" s="58"/>
    </row>
    <row r="7" spans="1:17" ht="15" customHeight="1" x14ac:dyDescent="0.25">
      <c r="A7" s="67"/>
      <c r="B7" s="68"/>
      <c r="C7" s="69"/>
      <c r="D7" s="69"/>
      <c r="E7" s="69"/>
      <c r="F7" s="70"/>
      <c r="G7" s="67"/>
      <c r="H7" s="67"/>
      <c r="I7" s="68"/>
      <c r="J7" s="70"/>
      <c r="K7" s="68"/>
      <c r="L7" s="70"/>
      <c r="M7" s="68"/>
      <c r="N7" s="70"/>
      <c r="O7" s="67"/>
      <c r="P7" s="10" t="s">
        <v>26</v>
      </c>
      <c r="Q7" s="10" t="s">
        <v>27</v>
      </c>
    </row>
    <row r="8" spans="1:17" ht="15" customHeight="1" x14ac:dyDescent="0.25">
      <c r="A8" s="11">
        <v>1</v>
      </c>
      <c r="B8" s="53" t="str">
        <f>VLOOKUP(A8,RESUMO!A:K,2,FALSE)</f>
        <v>ADMINISTRAÇÃO LOCAL DE OBRA</v>
      </c>
      <c r="C8" s="54"/>
      <c r="D8" s="54"/>
      <c r="E8" s="54"/>
      <c r="F8" s="55"/>
      <c r="G8" s="7">
        <f>VLOOKUP(A8,RESUMO!A:K,10,FALSE)</f>
        <v>10070.66</v>
      </c>
      <c r="H8" s="12">
        <f t="shared" ref="H8:H22" si="0">G8/$G$23</f>
        <v>3.9722208888127539E-2</v>
      </c>
      <c r="I8" s="7">
        <f t="shared" ref="I8:I22" si="1">J8*$G8</f>
        <v>2014.1320000000001</v>
      </c>
      <c r="J8" s="12">
        <v>0.2</v>
      </c>
      <c r="K8" s="7">
        <f t="shared" ref="K8:K22" si="2">L8*$G8</f>
        <v>4431.0904</v>
      </c>
      <c r="L8" s="12">
        <v>0.44</v>
      </c>
      <c r="M8" s="7">
        <f t="shared" ref="M8:M22" si="3">N8*$G8</f>
        <v>3625.4375999999997</v>
      </c>
      <c r="N8" s="12">
        <v>0.36</v>
      </c>
      <c r="O8" s="7">
        <f t="shared" ref="O8:O22" si="4">SUM(M8,K8,I8,)</f>
        <v>10070.66</v>
      </c>
      <c r="P8" s="12">
        <f t="shared" ref="P8:P22" si="5">SUM(N8,L8,J8,)</f>
        <v>1</v>
      </c>
      <c r="Q8" s="12">
        <f t="shared" ref="Q8:Q22" si="6">O8/$G$23</f>
        <v>3.9722208888127539E-2</v>
      </c>
    </row>
    <row r="9" spans="1:17" ht="15" customHeight="1" x14ac:dyDescent="0.25">
      <c r="A9" s="11">
        <v>2</v>
      </c>
      <c r="B9" s="53" t="str">
        <f>VLOOKUP(A9,RESUMO!A:K,2,FALSE)</f>
        <v>SERVIÇOS PRELIMINARES</v>
      </c>
      <c r="C9" s="54"/>
      <c r="D9" s="54"/>
      <c r="E9" s="54"/>
      <c r="F9" s="55"/>
      <c r="G9" s="7">
        <f>VLOOKUP(A9,RESUMO!A:K,10,FALSE)</f>
        <v>9778.35</v>
      </c>
      <c r="H9" s="12">
        <f t="shared" si="0"/>
        <v>3.8569235907201904E-2</v>
      </c>
      <c r="I9" s="7">
        <f t="shared" si="1"/>
        <v>9778.35</v>
      </c>
      <c r="J9" s="12">
        <v>1</v>
      </c>
      <c r="K9" s="7">
        <f t="shared" si="2"/>
        <v>0</v>
      </c>
      <c r="L9" s="12">
        <v>0</v>
      </c>
      <c r="M9" s="7">
        <f t="shared" si="3"/>
        <v>0</v>
      </c>
      <c r="N9" s="12">
        <v>0</v>
      </c>
      <c r="O9" s="7">
        <f t="shared" si="4"/>
        <v>9778.35</v>
      </c>
      <c r="P9" s="12">
        <f t="shared" si="5"/>
        <v>1</v>
      </c>
      <c r="Q9" s="12">
        <f t="shared" si="6"/>
        <v>3.8569235907201904E-2</v>
      </c>
    </row>
    <row r="10" spans="1:17" ht="15" customHeight="1" x14ac:dyDescent="0.25">
      <c r="A10" s="11">
        <v>3</v>
      </c>
      <c r="B10" s="53" t="str">
        <f>VLOOKUP(A10,RESUMO!A:K,2,FALSE)</f>
        <v>movimentação de terra / fundações</v>
      </c>
      <c r="C10" s="54"/>
      <c r="D10" s="54"/>
      <c r="E10" s="54"/>
      <c r="F10" s="55"/>
      <c r="G10" s="7">
        <f>VLOOKUP(A10,RESUMO!A:K,10,FALSE)</f>
        <v>20396.86</v>
      </c>
      <c r="H10" s="12">
        <f t="shared" si="0"/>
        <v>8.0452357003601857E-2</v>
      </c>
      <c r="I10" s="7">
        <f t="shared" si="1"/>
        <v>20396.86</v>
      </c>
      <c r="J10" s="12">
        <v>1</v>
      </c>
      <c r="K10" s="7">
        <f t="shared" si="2"/>
        <v>0</v>
      </c>
      <c r="L10" s="12">
        <v>0</v>
      </c>
      <c r="M10" s="7">
        <f t="shared" si="3"/>
        <v>0</v>
      </c>
      <c r="N10" s="12">
        <v>0</v>
      </c>
      <c r="O10" s="7">
        <f t="shared" si="4"/>
        <v>20396.86</v>
      </c>
      <c r="P10" s="12">
        <f t="shared" si="5"/>
        <v>1</v>
      </c>
      <c r="Q10" s="12">
        <f t="shared" si="6"/>
        <v>8.0452357003601857E-2</v>
      </c>
    </row>
    <row r="11" spans="1:17" ht="15" customHeight="1" x14ac:dyDescent="0.25">
      <c r="A11" s="11">
        <v>4</v>
      </c>
      <c r="B11" s="53" t="str">
        <f>VLOOKUP(A11,RESUMO!A:K,2,FALSE)</f>
        <v>estrutural</v>
      </c>
      <c r="C11" s="54"/>
      <c r="D11" s="54"/>
      <c r="E11" s="54"/>
      <c r="F11" s="55"/>
      <c r="G11" s="7">
        <f>VLOOKUP(A11,RESUMO!A:K,10,FALSE)</f>
        <v>29124.879999999997</v>
      </c>
      <c r="H11" s="12">
        <f t="shared" si="0"/>
        <v>0.11487872365879176</v>
      </c>
      <c r="I11" s="7">
        <f t="shared" si="1"/>
        <v>17474.927999999996</v>
      </c>
      <c r="J11" s="12">
        <v>0.6</v>
      </c>
      <c r="K11" s="7">
        <f t="shared" si="2"/>
        <v>11649.951999999999</v>
      </c>
      <c r="L11" s="12">
        <v>0.4</v>
      </c>
      <c r="M11" s="7">
        <f t="shared" si="3"/>
        <v>0</v>
      </c>
      <c r="N11" s="12">
        <v>0</v>
      </c>
      <c r="O11" s="7">
        <f t="shared" si="4"/>
        <v>29124.879999999997</v>
      </c>
      <c r="P11" s="12">
        <f t="shared" si="5"/>
        <v>1</v>
      </c>
      <c r="Q11" s="12">
        <f t="shared" si="6"/>
        <v>0.11487872365879176</v>
      </c>
    </row>
    <row r="12" spans="1:17" ht="15" customHeight="1" x14ac:dyDescent="0.25">
      <c r="A12" s="11">
        <v>5</v>
      </c>
      <c r="B12" s="53" t="str">
        <f>VLOOKUP(A12,RESUMO!A:K,2,FALSE)</f>
        <v>cobertura</v>
      </c>
      <c r="C12" s="54"/>
      <c r="D12" s="54"/>
      <c r="E12" s="54"/>
      <c r="F12" s="55"/>
      <c r="G12" s="7">
        <f>VLOOKUP(A12,RESUMO!A:K,10,FALSE)</f>
        <v>37342.79</v>
      </c>
      <c r="H12" s="12">
        <f t="shared" si="0"/>
        <v>0.14729303787889575</v>
      </c>
      <c r="I12" s="7">
        <f t="shared" si="1"/>
        <v>0</v>
      </c>
      <c r="J12" s="12">
        <v>0</v>
      </c>
      <c r="K12" s="7">
        <f t="shared" si="2"/>
        <v>18671.395</v>
      </c>
      <c r="L12" s="12">
        <v>0.5</v>
      </c>
      <c r="M12" s="7">
        <f t="shared" si="3"/>
        <v>18671.395</v>
      </c>
      <c r="N12" s="12">
        <v>0.5</v>
      </c>
      <c r="O12" s="7">
        <f t="shared" si="4"/>
        <v>37342.79</v>
      </c>
      <c r="P12" s="12">
        <f t="shared" si="5"/>
        <v>1</v>
      </c>
      <c r="Q12" s="12">
        <f t="shared" si="6"/>
        <v>0.14729303787889575</v>
      </c>
    </row>
    <row r="13" spans="1:17" ht="15" customHeight="1" x14ac:dyDescent="0.25">
      <c r="A13" s="11">
        <v>6</v>
      </c>
      <c r="B13" s="53" t="str">
        <f>VLOOKUP(A13,RESUMO!A:K,2,FALSE)</f>
        <v>revestimentos</v>
      </c>
      <c r="C13" s="54"/>
      <c r="D13" s="54"/>
      <c r="E13" s="54"/>
      <c r="F13" s="55"/>
      <c r="G13" s="7">
        <f>VLOOKUP(A13,RESUMO!A:K,10,FALSE)</f>
        <v>67071.11</v>
      </c>
      <c r="H13" s="12">
        <f t="shared" si="0"/>
        <v>0.26455194016862643</v>
      </c>
      <c r="I13" s="7">
        <f t="shared" si="1"/>
        <v>0</v>
      </c>
      <c r="J13" s="12">
        <v>0</v>
      </c>
      <c r="K13" s="7">
        <f t="shared" si="2"/>
        <v>46949.776999999995</v>
      </c>
      <c r="L13" s="12">
        <v>0.7</v>
      </c>
      <c r="M13" s="7">
        <f t="shared" si="3"/>
        <v>20121.332999999999</v>
      </c>
      <c r="N13" s="12">
        <v>0.3</v>
      </c>
      <c r="O13" s="7">
        <f t="shared" si="4"/>
        <v>67071.109999999986</v>
      </c>
      <c r="P13" s="12">
        <f t="shared" si="5"/>
        <v>1</v>
      </c>
      <c r="Q13" s="12">
        <f t="shared" si="6"/>
        <v>0.26455194016862638</v>
      </c>
    </row>
    <row r="14" spans="1:17" ht="15" customHeight="1" x14ac:dyDescent="0.25">
      <c r="A14" s="11">
        <v>7</v>
      </c>
      <c r="B14" s="53" t="str">
        <f>VLOOKUP(A14,RESUMO!A:K,2,FALSE)</f>
        <v>pisos e calçadas</v>
      </c>
      <c r="C14" s="54"/>
      <c r="D14" s="54"/>
      <c r="E14" s="54"/>
      <c r="F14" s="55"/>
      <c r="G14" s="7">
        <f>VLOOKUP(A14,RESUMO!A:K,10,FALSE)</f>
        <v>20596.330000000002</v>
      </c>
      <c r="H14" s="12">
        <f t="shared" si="0"/>
        <v>8.123913652022885E-2</v>
      </c>
      <c r="I14" s="7">
        <f t="shared" si="1"/>
        <v>0</v>
      </c>
      <c r="J14" s="12">
        <v>0</v>
      </c>
      <c r="K14" s="7">
        <f t="shared" si="2"/>
        <v>10298.165000000001</v>
      </c>
      <c r="L14" s="12">
        <v>0.5</v>
      </c>
      <c r="M14" s="7">
        <f t="shared" si="3"/>
        <v>10298.165000000001</v>
      </c>
      <c r="N14" s="12">
        <v>0.5</v>
      </c>
      <c r="O14" s="7">
        <f t="shared" si="4"/>
        <v>20596.330000000002</v>
      </c>
      <c r="P14" s="12">
        <f t="shared" si="5"/>
        <v>1</v>
      </c>
      <c r="Q14" s="12">
        <f t="shared" si="6"/>
        <v>8.123913652022885E-2</v>
      </c>
    </row>
    <row r="15" spans="1:17" ht="15" customHeight="1" x14ac:dyDescent="0.25">
      <c r="A15" s="11">
        <v>8</v>
      </c>
      <c r="B15" s="53" t="str">
        <f>VLOOKUP(A15,RESUMO!A:K,2,FALSE)</f>
        <v>esquadrias</v>
      </c>
      <c r="C15" s="54"/>
      <c r="D15" s="54"/>
      <c r="E15" s="54"/>
      <c r="F15" s="55"/>
      <c r="G15" s="7">
        <f>VLOOKUP(A15,RESUMO!A:K,10,FALSE)</f>
        <v>23786.650000000005</v>
      </c>
      <c r="H15" s="12">
        <f t="shared" si="0"/>
        <v>9.3822875566127645E-2</v>
      </c>
      <c r="I15" s="7">
        <f t="shared" si="1"/>
        <v>0</v>
      </c>
      <c r="J15" s="12">
        <v>0</v>
      </c>
      <c r="K15" s="7">
        <f t="shared" si="2"/>
        <v>11893.325000000003</v>
      </c>
      <c r="L15" s="12">
        <v>0.5</v>
      </c>
      <c r="M15" s="7">
        <f t="shared" si="3"/>
        <v>11893.325000000003</v>
      </c>
      <c r="N15" s="12">
        <v>0.5</v>
      </c>
      <c r="O15" s="7">
        <f t="shared" si="4"/>
        <v>23786.650000000005</v>
      </c>
      <c r="P15" s="12">
        <f t="shared" si="5"/>
        <v>1</v>
      </c>
      <c r="Q15" s="12">
        <f t="shared" si="6"/>
        <v>9.3822875566127645E-2</v>
      </c>
    </row>
    <row r="16" spans="1:17" ht="15" customHeight="1" x14ac:dyDescent="0.25">
      <c r="A16" s="11">
        <v>9</v>
      </c>
      <c r="B16" s="53" t="str">
        <f>VLOOKUP(A16,RESUMO!A:K,2,FALSE)</f>
        <v>pintura</v>
      </c>
      <c r="C16" s="54"/>
      <c r="D16" s="54"/>
      <c r="E16" s="54"/>
      <c r="F16" s="55"/>
      <c r="G16" s="7">
        <f>VLOOKUP(A16,RESUMO!A:K,10,FALSE)</f>
        <v>6674.8499999999995</v>
      </c>
      <c r="H16" s="12">
        <f t="shared" si="0"/>
        <v>2.6327945337933964E-2</v>
      </c>
      <c r="I16" s="7">
        <f t="shared" si="1"/>
        <v>0</v>
      </c>
      <c r="J16" s="12">
        <v>0</v>
      </c>
      <c r="K16" s="7">
        <f t="shared" si="2"/>
        <v>0</v>
      </c>
      <c r="L16" s="12">
        <v>0</v>
      </c>
      <c r="M16" s="7">
        <f t="shared" si="3"/>
        <v>6674.8499999999995</v>
      </c>
      <c r="N16" s="12">
        <v>1</v>
      </c>
      <c r="O16" s="7">
        <f t="shared" si="4"/>
        <v>6674.8499999999995</v>
      </c>
      <c r="P16" s="12">
        <f t="shared" si="5"/>
        <v>1</v>
      </c>
      <c r="Q16" s="12">
        <f t="shared" si="6"/>
        <v>2.6327945337933964E-2</v>
      </c>
    </row>
    <row r="17" spans="1:17" ht="15" customHeight="1" x14ac:dyDescent="0.25">
      <c r="A17" s="11">
        <v>10</v>
      </c>
      <c r="B17" s="53" t="str">
        <f>VLOOKUP(A17,RESUMO!A:K,2,FALSE)</f>
        <v>instalações hidraulicas</v>
      </c>
      <c r="C17" s="54"/>
      <c r="D17" s="54"/>
      <c r="E17" s="54"/>
      <c r="F17" s="55"/>
      <c r="G17" s="7">
        <f>VLOOKUP(A17,RESUMO!A:K,10,FALSE)</f>
        <v>4145.18</v>
      </c>
      <c r="H17" s="12">
        <f t="shared" si="0"/>
        <v>1.6350041192820384E-2</v>
      </c>
      <c r="I17" s="7">
        <f t="shared" si="1"/>
        <v>829.03600000000006</v>
      </c>
      <c r="J17" s="12">
        <v>0.2</v>
      </c>
      <c r="K17" s="7">
        <f t="shared" si="2"/>
        <v>2072.59</v>
      </c>
      <c r="L17" s="12">
        <v>0.5</v>
      </c>
      <c r="M17" s="7">
        <f t="shared" si="3"/>
        <v>1243.5540000000001</v>
      </c>
      <c r="N17" s="12">
        <v>0.3</v>
      </c>
      <c r="O17" s="7">
        <f t="shared" si="4"/>
        <v>4145.18</v>
      </c>
      <c r="P17" s="12">
        <f t="shared" si="5"/>
        <v>1</v>
      </c>
      <c r="Q17" s="12">
        <f t="shared" si="6"/>
        <v>1.6350041192820384E-2</v>
      </c>
    </row>
    <row r="18" spans="1:17" ht="15" customHeight="1" x14ac:dyDescent="0.25">
      <c r="A18" s="11">
        <v>11</v>
      </c>
      <c r="B18" s="53" t="str">
        <f>VLOOKUP(A18,RESUMO!A:K,2,FALSE)</f>
        <v>instalações sanitarias</v>
      </c>
      <c r="C18" s="54"/>
      <c r="D18" s="54"/>
      <c r="E18" s="54"/>
      <c r="F18" s="55"/>
      <c r="G18" s="7">
        <f>VLOOKUP(A18,RESUMO!A:K,10,FALSE)</f>
        <v>7516.6</v>
      </c>
      <c r="H18" s="12">
        <f t="shared" si="0"/>
        <v>2.9648102043808397E-2</v>
      </c>
      <c r="I18" s="7">
        <f t="shared" si="1"/>
        <v>1503.3200000000002</v>
      </c>
      <c r="J18" s="12">
        <v>0.2</v>
      </c>
      <c r="K18" s="7">
        <f t="shared" si="2"/>
        <v>3758.3</v>
      </c>
      <c r="L18" s="12">
        <v>0.5</v>
      </c>
      <c r="M18" s="7">
        <f t="shared" si="3"/>
        <v>2254.98</v>
      </c>
      <c r="N18" s="12">
        <v>0.3</v>
      </c>
      <c r="O18" s="7">
        <f t="shared" si="4"/>
        <v>7516.6</v>
      </c>
      <c r="P18" s="12">
        <f t="shared" si="5"/>
        <v>1</v>
      </c>
      <c r="Q18" s="12">
        <f t="shared" si="6"/>
        <v>2.9648102043808397E-2</v>
      </c>
    </row>
    <row r="19" spans="1:17" ht="15" customHeight="1" x14ac:dyDescent="0.25">
      <c r="A19" s="11">
        <v>12</v>
      </c>
      <c r="B19" s="53" t="str">
        <f>VLOOKUP(A19,RESUMO!A:K,2,FALSE)</f>
        <v>louças e metais</v>
      </c>
      <c r="C19" s="54"/>
      <c r="D19" s="54"/>
      <c r="E19" s="54"/>
      <c r="F19" s="55"/>
      <c r="G19" s="7">
        <f>VLOOKUP(A19,RESUMO!A:K,10,FALSE)</f>
        <v>5468.94</v>
      </c>
      <c r="H19" s="12">
        <f t="shared" si="0"/>
        <v>2.1571414095663662E-2</v>
      </c>
      <c r="I19" s="7">
        <f t="shared" si="1"/>
        <v>0</v>
      </c>
      <c r="J19" s="12">
        <v>0</v>
      </c>
      <c r="K19" s="7">
        <f t="shared" si="2"/>
        <v>0</v>
      </c>
      <c r="L19" s="12">
        <v>0</v>
      </c>
      <c r="M19" s="7">
        <f t="shared" si="3"/>
        <v>5468.94</v>
      </c>
      <c r="N19" s="12">
        <v>1</v>
      </c>
      <c r="O19" s="7">
        <f t="shared" si="4"/>
        <v>5468.94</v>
      </c>
      <c r="P19" s="12">
        <f t="shared" si="5"/>
        <v>1</v>
      </c>
      <c r="Q19" s="12">
        <f t="shared" si="6"/>
        <v>2.1571414095663662E-2</v>
      </c>
    </row>
    <row r="20" spans="1:17" ht="15" customHeight="1" x14ac:dyDescent="0.25">
      <c r="A20" s="11">
        <v>13</v>
      </c>
      <c r="B20" s="53" t="str">
        <f>VLOOKUP(A20,RESUMO!A:K,2,FALSE)</f>
        <v>instalações eletricas</v>
      </c>
      <c r="C20" s="54"/>
      <c r="D20" s="54"/>
      <c r="E20" s="54"/>
      <c r="F20" s="55"/>
      <c r="G20" s="7">
        <f>VLOOKUP(A20,RESUMO!A:K,10,FALSE)</f>
        <v>8911.76</v>
      </c>
      <c r="H20" s="12">
        <f t="shared" si="0"/>
        <v>3.5151101544572003E-2</v>
      </c>
      <c r="I20" s="7">
        <f t="shared" si="1"/>
        <v>0</v>
      </c>
      <c r="J20" s="12">
        <v>0</v>
      </c>
      <c r="K20" s="7">
        <f t="shared" si="2"/>
        <v>6238.232</v>
      </c>
      <c r="L20" s="12">
        <v>0.7</v>
      </c>
      <c r="M20" s="7">
        <f t="shared" si="3"/>
        <v>2673.5279999999998</v>
      </c>
      <c r="N20" s="12">
        <v>0.3</v>
      </c>
      <c r="O20" s="7">
        <f t="shared" si="4"/>
        <v>8911.76</v>
      </c>
      <c r="P20" s="12">
        <f t="shared" si="5"/>
        <v>1</v>
      </c>
      <c r="Q20" s="12">
        <f t="shared" si="6"/>
        <v>3.5151101544572003E-2</v>
      </c>
    </row>
    <row r="21" spans="1:17" ht="15" customHeight="1" x14ac:dyDescent="0.25">
      <c r="A21" s="11">
        <v>14</v>
      </c>
      <c r="B21" s="53" t="str">
        <f>VLOOKUP(A21,RESUMO!A:K,2,FALSE)</f>
        <v>adaptação predio existente</v>
      </c>
      <c r="C21" s="54"/>
      <c r="D21" s="54"/>
      <c r="E21" s="54"/>
      <c r="F21" s="55"/>
      <c r="G21" s="7">
        <f>VLOOKUP(A21,RESUMO!A:K,10,FALSE)</f>
        <v>357.83000000000004</v>
      </c>
      <c r="H21" s="12">
        <f t="shared" si="0"/>
        <v>1.4114068001936991E-3</v>
      </c>
      <c r="I21" s="7">
        <f t="shared" si="1"/>
        <v>357.83000000000004</v>
      </c>
      <c r="J21" s="12">
        <v>1</v>
      </c>
      <c r="K21" s="7">
        <f t="shared" si="2"/>
        <v>0</v>
      </c>
      <c r="L21" s="12">
        <v>0</v>
      </c>
      <c r="M21" s="7">
        <f t="shared" si="3"/>
        <v>0</v>
      </c>
      <c r="N21" s="12">
        <v>0</v>
      </c>
      <c r="O21" s="7">
        <f t="shared" si="4"/>
        <v>357.83000000000004</v>
      </c>
      <c r="P21" s="12">
        <f t="shared" si="5"/>
        <v>1</v>
      </c>
      <c r="Q21" s="12">
        <f t="shared" si="6"/>
        <v>1.4114068001936991E-3</v>
      </c>
    </row>
    <row r="22" spans="1:17" ht="15" customHeight="1" x14ac:dyDescent="0.25">
      <c r="A22" s="11">
        <v>15</v>
      </c>
      <c r="B22" s="53" t="str">
        <f>VLOOKUP(A22,RESUMO!A:K,2,FALSE)</f>
        <v>serviços finais</v>
      </c>
      <c r="C22" s="54"/>
      <c r="D22" s="54"/>
      <c r="E22" s="54"/>
      <c r="F22" s="55"/>
      <c r="G22" s="7">
        <f>VLOOKUP(A22,RESUMO!A:K,10,FALSE)</f>
        <v>2284.4</v>
      </c>
      <c r="H22" s="12">
        <f t="shared" si="0"/>
        <v>9.0104733934060471E-3</v>
      </c>
      <c r="I22" s="7">
        <f t="shared" si="1"/>
        <v>456.88000000000005</v>
      </c>
      <c r="J22" s="12">
        <v>0.2</v>
      </c>
      <c r="K22" s="7">
        <f t="shared" si="2"/>
        <v>456.88000000000005</v>
      </c>
      <c r="L22" s="12">
        <v>0.2</v>
      </c>
      <c r="M22" s="7">
        <f t="shared" si="3"/>
        <v>1370.64</v>
      </c>
      <c r="N22" s="12">
        <v>0.6</v>
      </c>
      <c r="O22" s="7">
        <f t="shared" si="4"/>
        <v>2284.4</v>
      </c>
      <c r="P22" s="12">
        <f t="shared" si="5"/>
        <v>1</v>
      </c>
      <c r="Q22" s="12">
        <f t="shared" si="6"/>
        <v>9.0104733934060471E-3</v>
      </c>
    </row>
    <row r="23" spans="1:17" ht="15" customHeight="1" x14ac:dyDescent="0.25">
      <c r="B23" s="56" t="s">
        <v>28</v>
      </c>
      <c r="C23" s="57"/>
      <c r="D23" s="57"/>
      <c r="E23" s="57"/>
      <c r="F23" s="58"/>
      <c r="G23" s="62">
        <f>SUM(G8:G22)</f>
        <v>253527.19000000003</v>
      </c>
      <c r="H23" s="64">
        <f>SUM(H8:H22)</f>
        <v>0.99999999999999978</v>
      </c>
      <c r="I23" s="13">
        <f>SUM(I8:I22)</f>
        <v>52811.335999999996</v>
      </c>
      <c r="J23" s="14">
        <f>I23/$G23</f>
        <v>0.20830639900990497</v>
      </c>
      <c r="K23" s="13">
        <f>SUM(K8:K22)</f>
        <v>116419.70640000001</v>
      </c>
      <c r="L23" s="14">
        <f>K23/$G23</f>
        <v>0.45920008185315347</v>
      </c>
      <c r="M23" s="13">
        <f>SUM(M8:M22)</f>
        <v>84296.147600000011</v>
      </c>
      <c r="N23" s="14">
        <f>M23/$G23</f>
        <v>0.33249351913694147</v>
      </c>
      <c r="O23" s="62">
        <f>SUM(O8:O22)</f>
        <v>253527.18999999997</v>
      </c>
      <c r="P23" s="64">
        <f>SUM(N23,L23,J23,)</f>
        <v>1</v>
      </c>
      <c r="Q23" s="64">
        <f>SUM(Q8:Q22)</f>
        <v>0.99999999999999967</v>
      </c>
    </row>
    <row r="24" spans="1:17" ht="15" customHeight="1" x14ac:dyDescent="0.25">
      <c r="B24" s="56" t="s">
        <v>29</v>
      </c>
      <c r="C24" s="57"/>
      <c r="D24" s="57"/>
      <c r="E24" s="57"/>
      <c r="F24" s="58"/>
      <c r="G24" s="63"/>
      <c r="H24" s="65"/>
      <c r="I24" s="13">
        <f>I23</f>
        <v>52811.335999999996</v>
      </c>
      <c r="J24" s="14">
        <f>I24/$G23</f>
        <v>0.20830639900990497</v>
      </c>
      <c r="K24" s="13">
        <f>SUM(K23,I24)</f>
        <v>169231.04240000001</v>
      </c>
      <c r="L24" s="14">
        <f>K24/$G23</f>
        <v>0.66750648086305842</v>
      </c>
      <c r="M24" s="13">
        <f>SUM(M23,K24)</f>
        <v>253527.19</v>
      </c>
      <c r="N24" s="14">
        <f>M24/$G23</f>
        <v>0.99999999999999989</v>
      </c>
      <c r="O24" s="63"/>
      <c r="P24" s="65"/>
      <c r="Q24" s="65"/>
    </row>
  </sheetData>
  <sheetProtection formatCells="0" formatColumns="0" formatRows="0" insertColumns="0" insertRows="0" insertHyperlinks="0" deleteColumns="0" deleteRows="0" sort="0" autoFilter="0" pivotTables="0"/>
  <mergeCells count="34">
    <mergeCell ref="A1:Q1"/>
    <mergeCell ref="A2:Q2"/>
    <mergeCell ref="A3:Q3"/>
    <mergeCell ref="A6:A7"/>
    <mergeCell ref="B6:F7"/>
    <mergeCell ref="G6:G7"/>
    <mergeCell ref="H6:H7"/>
    <mergeCell ref="I6:J7"/>
    <mergeCell ref="K6:L7"/>
    <mergeCell ref="M6:N7"/>
    <mergeCell ref="B17:F17"/>
    <mergeCell ref="O6:O7"/>
    <mergeCell ref="P6:Q6"/>
    <mergeCell ref="B8:F8"/>
    <mergeCell ref="B9:F9"/>
    <mergeCell ref="B10:F10"/>
    <mergeCell ref="B11:F11"/>
    <mergeCell ref="B12:F12"/>
    <mergeCell ref="B13:F13"/>
    <mergeCell ref="B14:F14"/>
    <mergeCell ref="B15:F15"/>
    <mergeCell ref="B16:F16"/>
    <mergeCell ref="B24:F24"/>
    <mergeCell ref="B18:F18"/>
    <mergeCell ref="B19:F19"/>
    <mergeCell ref="B20:F20"/>
    <mergeCell ref="B21:F21"/>
    <mergeCell ref="B22:F22"/>
    <mergeCell ref="B23:F23"/>
    <mergeCell ref="G23:G24"/>
    <mergeCell ref="H23:H24"/>
    <mergeCell ref="O23:O24"/>
    <mergeCell ref="P23:P24"/>
    <mergeCell ref="Q23:Q24"/>
  </mergeCells>
  <pageMargins left="0.70866141732283472" right="0.70866141732283472" top="0.74803149606299213" bottom="0.74803149606299213" header="0.31496062992125984" footer="0.31496062992125984"/>
  <pageSetup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view="pageBreakPreview" zoomScale="90" zoomScaleNormal="100" zoomScaleSheetLayoutView="90" workbookViewId="0">
      <selection activeCell="M8" sqref="M8"/>
    </sheetView>
  </sheetViews>
  <sheetFormatPr defaultRowHeight="15" customHeight="1" x14ac:dyDescent="0.25"/>
  <cols>
    <col min="1" max="6" width="12.7109375" style="1" customWidth="1"/>
    <col min="7" max="7" width="8.7109375" style="1" customWidth="1"/>
    <col min="8" max="8" width="16.7109375" style="1" customWidth="1"/>
    <col min="9" max="12" width="8.7109375" style="1" customWidth="1"/>
    <col min="13" max="13" width="30.42578125" style="1" customWidth="1"/>
    <col min="14" max="16384" width="9.140625" style="1"/>
  </cols>
  <sheetData>
    <row r="1" spans="1:12" ht="15" customHeight="1" x14ac:dyDescent="0.25">
      <c r="A1" s="52" t="str">
        <f>CIDADE</f>
        <v>MUNICÍPIO DE PICOS - PI</v>
      </c>
      <c r="B1" s="52"/>
      <c r="C1" s="52"/>
      <c r="D1" s="52"/>
      <c r="E1" s="52"/>
      <c r="F1" s="52"/>
      <c r="G1" s="52"/>
      <c r="H1" s="52"/>
      <c r="I1" s="52"/>
      <c r="J1" s="52"/>
      <c r="K1" s="52"/>
      <c r="L1" s="52"/>
    </row>
    <row r="2" spans="1:12" ht="15" customHeight="1" x14ac:dyDescent="0.25">
      <c r="A2" s="52" t="str">
        <f>OBRA</f>
        <v>AMPLIAÇÃO ANTIGO PRÉDIO IAPEP PICOS</v>
      </c>
      <c r="B2" s="52"/>
      <c r="C2" s="52"/>
      <c r="D2" s="52"/>
      <c r="E2" s="52"/>
      <c r="F2" s="52"/>
      <c r="G2" s="52"/>
      <c r="H2" s="52"/>
      <c r="I2" s="52"/>
      <c r="J2" s="52"/>
      <c r="K2" s="52"/>
      <c r="L2" s="52"/>
    </row>
    <row r="3" spans="1:12" ht="15" customHeight="1" x14ac:dyDescent="0.25">
      <c r="A3" s="52" t="s">
        <v>30</v>
      </c>
      <c r="B3" s="52"/>
      <c r="C3" s="52"/>
      <c r="D3" s="52"/>
      <c r="E3" s="52"/>
      <c r="F3" s="52"/>
      <c r="G3" s="52"/>
      <c r="H3" s="52"/>
      <c r="I3" s="52"/>
      <c r="J3" s="52"/>
      <c r="K3" s="52"/>
      <c r="L3" s="52"/>
    </row>
    <row r="4" spans="1:12" ht="15" customHeight="1" x14ac:dyDescent="0.25">
      <c r="A4" s="3"/>
      <c r="B4" s="3"/>
      <c r="C4" s="3"/>
      <c r="D4" s="3"/>
      <c r="E4" s="3"/>
      <c r="F4" s="3"/>
      <c r="G4" s="3"/>
      <c r="H4" s="3"/>
      <c r="I4" s="3"/>
      <c r="J4" s="3"/>
      <c r="K4" s="3"/>
      <c r="L4" s="3"/>
    </row>
    <row r="5" spans="1:12" ht="15" customHeight="1" x14ac:dyDescent="0.25">
      <c r="A5" s="2" t="s">
        <v>3</v>
      </c>
      <c r="B5" s="4" t="str">
        <f>FONTE&amp;ONERA</f>
        <v>SINAPI PI-06/2021, SEINFRA 27, ORSE-06/2021, SEM DESONERAÇÃO</v>
      </c>
      <c r="C5" s="2"/>
      <c r="D5" s="2"/>
      <c r="E5" s="2"/>
      <c r="F5" s="3"/>
      <c r="G5" s="3"/>
      <c r="H5" s="2" t="s">
        <v>5</v>
      </c>
      <c r="I5" s="5">
        <f>LEI</f>
        <v>112.14999999999999</v>
      </c>
      <c r="J5" s="3"/>
      <c r="K5" s="2" t="s">
        <v>6</v>
      </c>
      <c r="L5" s="5">
        <f>BDI</f>
        <v>20.8</v>
      </c>
    </row>
    <row r="6" spans="1:12" ht="30" customHeight="1" x14ac:dyDescent="0.25">
      <c r="A6" s="10" t="s">
        <v>19</v>
      </c>
      <c r="B6" s="10" t="s">
        <v>31</v>
      </c>
      <c r="C6" s="82" t="s">
        <v>7</v>
      </c>
      <c r="D6" s="83"/>
      <c r="E6" s="83"/>
      <c r="F6" s="83"/>
      <c r="G6" s="6" t="s">
        <v>32</v>
      </c>
      <c r="H6" s="6" t="s">
        <v>33</v>
      </c>
      <c r="I6" s="49" t="s">
        <v>34</v>
      </c>
      <c r="J6" s="51"/>
      <c r="K6" s="57" t="s">
        <v>9</v>
      </c>
      <c r="L6" s="58"/>
    </row>
    <row r="7" spans="1:12" ht="15" customHeight="1" x14ac:dyDescent="0.25">
      <c r="A7" s="15">
        <v>1</v>
      </c>
      <c r="B7" s="73" t="str">
        <f>VLOOKUP(A7,MEMORIA!A:P,2,FALSE)</f>
        <v>ADMINISTRAÇÃO LOCAL DE OBRA</v>
      </c>
      <c r="C7" s="74"/>
      <c r="D7" s="74"/>
      <c r="E7" s="74"/>
      <c r="F7" s="74"/>
      <c r="G7" s="74"/>
      <c r="H7" s="74"/>
      <c r="I7" s="74"/>
      <c r="J7" s="75"/>
      <c r="K7" s="76">
        <f>SUM(K8:L9)</f>
        <v>10070.66</v>
      </c>
      <c r="L7" s="72"/>
    </row>
    <row r="8" spans="1:12" ht="15" customHeight="1" x14ac:dyDescent="0.25">
      <c r="A8" s="16" t="s">
        <v>35</v>
      </c>
      <c r="B8" s="16" t="str">
        <f>VLOOKUP(A8,MEMORIA!A:P,2,FALSE)</f>
        <v>adm. loc.</v>
      </c>
      <c r="C8" s="77" t="str">
        <f>VLOOKUP(A8,MEMORIA!A:P,3,FALSE)</f>
        <v>ADMINISTRAÇÃO LOCAL</v>
      </c>
      <c r="D8" s="77"/>
      <c r="E8" s="77"/>
      <c r="F8" s="77"/>
      <c r="G8" s="16" t="str">
        <f>VLOOKUP(A8,MEMORIA!A:P,7,FALSE)</f>
        <v>UND</v>
      </c>
      <c r="H8" s="17">
        <f>VLOOKUP(A8,MEMORIA!A:P,16,FALSE)</f>
        <v>62</v>
      </c>
      <c r="I8" s="78">
        <f>VLOOKUP("TOTAL - "&amp;B8,COMPOSICAO!A:K,10,FALSE)</f>
        <v>162.43</v>
      </c>
      <c r="J8" s="79"/>
      <c r="K8" s="80">
        <f>ROUND(H8*I8,2)</f>
        <v>10070.66</v>
      </c>
      <c r="L8" s="81"/>
    </row>
    <row r="9" spans="1:12" ht="15" customHeight="1" x14ac:dyDescent="0.25">
      <c r="A9" s="18"/>
      <c r="B9" s="18"/>
      <c r="C9" s="18"/>
      <c r="D9" s="18"/>
      <c r="E9" s="18"/>
      <c r="F9" s="18"/>
      <c r="G9" s="18"/>
      <c r="H9" s="18"/>
      <c r="I9" s="18"/>
      <c r="J9" s="18"/>
      <c r="K9" s="18"/>
      <c r="L9" s="18"/>
    </row>
    <row r="10" spans="1:12" ht="15" customHeight="1" x14ac:dyDescent="0.25">
      <c r="A10" s="15">
        <v>2</v>
      </c>
      <c r="B10" s="73" t="str">
        <f>VLOOKUP(A10,MEMORIA!A:P,2,FALSE)</f>
        <v>SERVIÇOS PRELIMINARES</v>
      </c>
      <c r="C10" s="74"/>
      <c r="D10" s="74"/>
      <c r="E10" s="74"/>
      <c r="F10" s="74"/>
      <c r="G10" s="74"/>
      <c r="H10" s="74"/>
      <c r="I10" s="74"/>
      <c r="J10" s="75"/>
      <c r="K10" s="76">
        <f>SUM(K11:L20)</f>
        <v>9778.35</v>
      </c>
      <c r="L10" s="72"/>
    </row>
    <row r="11" spans="1:12" ht="30" customHeight="1" x14ac:dyDescent="0.25">
      <c r="A11" s="16" t="s">
        <v>36</v>
      </c>
      <c r="B11" s="16" t="str">
        <f>VLOOKUP(A11,MEMORIA!A:P,2,FALSE)</f>
        <v>placa.1</v>
      </c>
      <c r="C11" s="77" t="str">
        <f>VLOOKUP(A11,MEMORIA!A:P,3,FALSE)</f>
        <v xml:space="preserve">PLACA DE OBRA EM CHAPA DE AÇO GALVANIZADO </v>
      </c>
      <c r="D11" s="77"/>
      <c r="E11" s="77"/>
      <c r="F11" s="77"/>
      <c r="G11" s="16" t="str">
        <f>VLOOKUP(A11,MEMORIA!A:P,7,FALSE)</f>
        <v>M²</v>
      </c>
      <c r="H11" s="17">
        <f>VLOOKUP(A11,MEMORIA!A:P,16,FALSE)</f>
        <v>1</v>
      </c>
      <c r="I11" s="78">
        <f>VLOOKUP("TOTAL - "&amp;B11,COMPOSICAO!A:K,10,FALSE)</f>
        <v>377.44000000000005</v>
      </c>
      <c r="J11" s="79"/>
      <c r="K11" s="80">
        <f t="shared" ref="K11:K19" si="0">ROUND(H11*I11,2)</f>
        <v>377.44</v>
      </c>
      <c r="L11" s="81"/>
    </row>
    <row r="12" spans="1:12" ht="60" customHeight="1" x14ac:dyDescent="0.25">
      <c r="A12" s="16" t="s">
        <v>37</v>
      </c>
      <c r="B12" s="16" t="str">
        <f>VLOOKUP(A12,MEMORIA!A:P,2,FALSE)</f>
        <v>06096/orse</v>
      </c>
      <c r="C12" s="77" t="str">
        <f>VLOOKUP(A12,MEMORIA!A:P,3,FALSE)</f>
        <v>LIGAÇÃO PREDIAL DE ÁGUA EM MURETA DE CONCRETO, PROVISÓRIA OU DEFINITIVA, COM FORNECIMENTO DE MATERIAL, INCLUSIVE MURETA E HIDRÔMETRO, REDE DN 50MM</v>
      </c>
      <c r="D12" s="77"/>
      <c r="E12" s="77"/>
      <c r="F12" s="77"/>
      <c r="G12" s="16" t="str">
        <f>VLOOKUP(A12,MEMORIA!A:P,7,FALSE)</f>
        <v>UN</v>
      </c>
      <c r="H12" s="17">
        <f>VLOOKUP(A12,MEMORIA!A:P,16,FALSE)</f>
        <v>1</v>
      </c>
      <c r="I12" s="78">
        <f>VLOOKUP("TOTAL - "&amp;B12,COMPOSICAO!A:K,10,FALSE)</f>
        <v>660.87</v>
      </c>
      <c r="J12" s="79"/>
      <c r="K12" s="80">
        <f t="shared" si="0"/>
        <v>660.87</v>
      </c>
      <c r="L12" s="81"/>
    </row>
    <row r="13" spans="1:12" ht="30" customHeight="1" x14ac:dyDescent="0.25">
      <c r="A13" s="16" t="s">
        <v>38</v>
      </c>
      <c r="B13" s="16" t="str">
        <f>VLOOKUP(A13,MEMORIA!A:P,2,FALSE)</f>
        <v>11122/orse</v>
      </c>
      <c r="C13" s="77" t="str">
        <f>VLOOKUP(A13,MEMORIA!A:P,3,FALSE)</f>
        <v>ENTRADA DE ENERGIA ELÉTRICA MONOFÁSICA DEMANDA ENTRE 0 E 3,8 KW - REV 01</v>
      </c>
      <c r="D13" s="77"/>
      <c r="E13" s="77"/>
      <c r="F13" s="77"/>
      <c r="G13" s="16" t="str">
        <f>VLOOKUP(A13,MEMORIA!A:P,7,FALSE)</f>
        <v>UN</v>
      </c>
      <c r="H13" s="17">
        <f>VLOOKUP(A13,MEMORIA!A:P,16,FALSE)</f>
        <v>1</v>
      </c>
      <c r="I13" s="78">
        <f>VLOOKUP("TOTAL - "&amp;B13,COMPOSICAO!A:K,10,FALSE)</f>
        <v>2106.92</v>
      </c>
      <c r="J13" s="79"/>
      <c r="K13" s="80">
        <f t="shared" si="0"/>
        <v>2106.92</v>
      </c>
      <c r="L13" s="81"/>
    </row>
    <row r="14" spans="1:12" ht="30" customHeight="1" x14ac:dyDescent="0.25">
      <c r="A14" s="16" t="s">
        <v>39</v>
      </c>
      <c r="B14" s="16">
        <f>VLOOKUP(A14,MEMORIA!A:P,2,FALSE)</f>
        <v>98524</v>
      </c>
      <c r="C14" s="77" t="str">
        <f>VLOOKUP(A14,MEMORIA!A:P,3,FALSE)</f>
        <v>LIMPEZA MANUAL DE VEGETAÇÃO EM TERRENO COM ENXADA.AF_05/2018</v>
      </c>
      <c r="D14" s="77"/>
      <c r="E14" s="77"/>
      <c r="F14" s="77"/>
      <c r="G14" s="16" t="str">
        <f>VLOOKUP(A14,MEMORIA!A:P,7,FALSE)</f>
        <v>M2</v>
      </c>
      <c r="H14" s="17">
        <f>VLOOKUP(A14,MEMORIA!A:P,16,FALSE)</f>
        <v>388.03</v>
      </c>
      <c r="I14" s="78">
        <f>VLOOKUP("TOTAL - "&amp;B14,COMPOSICAO!A:K,10,FALSE)</f>
        <v>2.9800000000000004</v>
      </c>
      <c r="J14" s="79"/>
      <c r="K14" s="80">
        <f t="shared" si="0"/>
        <v>1156.33</v>
      </c>
      <c r="L14" s="81"/>
    </row>
    <row r="15" spans="1:12" ht="45" customHeight="1" x14ac:dyDescent="0.25">
      <c r="A15" s="16" t="s">
        <v>40</v>
      </c>
      <c r="B15" s="16">
        <f>VLOOKUP(A15,MEMORIA!A:P,2,FALSE)</f>
        <v>98530</v>
      </c>
      <c r="C15" s="77" t="str">
        <f>VLOOKUP(A15,MEMORIA!A:P,3,FALSE)</f>
        <v>CORTE RASO E RECORTE DE ÁRVORE COM DIÂMETRO DE TRONCO MAIOR OU IGUAL A 0,40 M E MENOR QUE 0,60 M.AF_05/2018</v>
      </c>
      <c r="D15" s="77"/>
      <c r="E15" s="77"/>
      <c r="F15" s="77"/>
      <c r="G15" s="16" t="str">
        <f>VLOOKUP(A15,MEMORIA!A:P,7,FALSE)</f>
        <v>UN</v>
      </c>
      <c r="H15" s="17">
        <f>VLOOKUP(A15,MEMORIA!A:P,16,FALSE)</f>
        <v>3</v>
      </c>
      <c r="I15" s="78">
        <f>VLOOKUP("TOTAL - "&amp;B15,COMPOSICAO!A:K,10,FALSE)</f>
        <v>114.77</v>
      </c>
      <c r="J15" s="79"/>
      <c r="K15" s="80">
        <f t="shared" si="0"/>
        <v>344.31</v>
      </c>
      <c r="L15" s="81"/>
    </row>
    <row r="16" spans="1:12" ht="30" customHeight="1" x14ac:dyDescent="0.25">
      <c r="A16" s="16" t="s">
        <v>41</v>
      </c>
      <c r="B16" s="16" t="str">
        <f>VLOOKUP(A16,MEMORIA!A:P,2,FALSE)</f>
        <v>c0143</v>
      </c>
      <c r="C16" s="77" t="str">
        <f>VLOOKUP(A16,MEMORIA!A:P,3,FALSE)</f>
        <v>SERVIÇOS DE SONDAGEM GEOTÉCNICA MISTA EM SOLOS</v>
      </c>
      <c r="D16" s="77"/>
      <c r="E16" s="77"/>
      <c r="F16" s="77"/>
      <c r="G16" s="16" t="str">
        <f>VLOOKUP(A16,MEMORIA!A:P,7,FALSE)</f>
        <v>M</v>
      </c>
      <c r="H16" s="17">
        <f>VLOOKUP(A16,MEMORIA!A:P,16,FALSE)</f>
        <v>10</v>
      </c>
      <c r="I16" s="78">
        <f>VLOOKUP("TOTAL - "&amp;B16,COMPOSICAO!A:K,10,FALSE)</f>
        <v>284.02</v>
      </c>
      <c r="J16" s="79"/>
      <c r="K16" s="80">
        <f t="shared" si="0"/>
        <v>2840.2</v>
      </c>
      <c r="L16" s="81"/>
    </row>
    <row r="17" spans="1:13" ht="30" customHeight="1" x14ac:dyDescent="0.25">
      <c r="A17" s="16" t="s">
        <v>42</v>
      </c>
      <c r="B17" s="16" t="str">
        <f>VLOOKUP(A17,MEMORIA!A:P,2,FALSE)</f>
        <v>07102/orse</v>
      </c>
      <c r="C17" s="77" t="str">
        <f>VLOOKUP(A17,MEMORIA!A:P,3,FALSE)</f>
        <v>PROJETO ESTRUTURAL INCLUINDO FUNDAÇÕES CONCRETO ARMADO, ATÉ 500M²</v>
      </c>
      <c r="D17" s="77"/>
      <c r="E17" s="77"/>
      <c r="F17" s="77"/>
      <c r="G17" s="16" t="str">
        <f>VLOOKUP(A17,MEMORIA!A:P,7,FALSE)</f>
        <v>M²</v>
      </c>
      <c r="H17" s="17">
        <f>VLOOKUP(A17,MEMORIA!A:P,16,FALSE)</f>
        <v>134.76</v>
      </c>
      <c r="I17" s="78">
        <f>ROUND(8.67*(1+BDI/100),2)</f>
        <v>10.47</v>
      </c>
      <c r="J17" s="79"/>
      <c r="K17" s="80">
        <f t="shared" si="0"/>
        <v>1410.94</v>
      </c>
      <c r="L17" s="81"/>
      <c r="M17" s="19" t="s">
        <v>43</v>
      </c>
    </row>
    <row r="18" spans="1:13" ht="15" customHeight="1" x14ac:dyDescent="0.25">
      <c r="A18" s="16" t="s">
        <v>44</v>
      </c>
      <c r="B18" s="16" t="str">
        <f>VLOOKUP(A18,MEMORIA!A:P,2,FALSE)</f>
        <v>proj.hidro</v>
      </c>
      <c r="C18" s="77" t="str">
        <f>VLOOKUP(A18,MEMORIA!A:P,3,FALSE)</f>
        <v>PROJETO HIDRAÚLICO - ÁGUA FRIA</v>
      </c>
      <c r="D18" s="77"/>
      <c r="E18" s="77"/>
      <c r="F18" s="77"/>
      <c r="G18" s="16" t="str">
        <f>VLOOKUP(A18,MEMORIA!A:P,7,FALSE)</f>
        <v>M²</v>
      </c>
      <c r="H18" s="17">
        <f>VLOOKUP(A18,MEMORIA!A:P,16,FALSE)</f>
        <v>134.76</v>
      </c>
      <c r="I18" s="78">
        <f>VLOOKUP("TOTAL - "&amp;B18,COMPOSICAO!A:K,10,FALSE)</f>
        <v>3.27</v>
      </c>
      <c r="J18" s="79"/>
      <c r="K18" s="80">
        <f t="shared" si="0"/>
        <v>440.67</v>
      </c>
      <c r="L18" s="81"/>
    </row>
    <row r="19" spans="1:13" ht="45" customHeight="1" x14ac:dyDescent="0.25">
      <c r="A19" s="16" t="s">
        <v>45</v>
      </c>
      <c r="B19" s="16" t="str">
        <f>VLOOKUP(A19,MEMORIA!A:P,2,FALSE)</f>
        <v>proj.sanit</v>
      </c>
      <c r="C19" s="77" t="str">
        <f>VLOOKUP(A19,MEMORIA!A:P,3,FALSE)</f>
        <v>PROJETO DE REDE DE ESGOTO SANITÁRIO COM TRATAMENTO SIMPLES (FOSSA E FILTRO, SUMIDOURO)</v>
      </c>
      <c r="D19" s="77"/>
      <c r="E19" s="77"/>
      <c r="F19" s="77"/>
      <c r="G19" s="16" t="str">
        <f>VLOOKUP(A19,MEMORIA!A:P,7,FALSE)</f>
        <v>M²</v>
      </c>
      <c r="H19" s="17">
        <f>VLOOKUP(A19,MEMORIA!A:P,16,FALSE)</f>
        <v>134.76</v>
      </c>
      <c r="I19" s="78">
        <f>VLOOKUP("TOTAL - "&amp;B19,COMPOSICAO!A:K,10,FALSE)</f>
        <v>3.27</v>
      </c>
      <c r="J19" s="79"/>
      <c r="K19" s="80">
        <f t="shared" si="0"/>
        <v>440.67</v>
      </c>
      <c r="L19" s="81"/>
    </row>
    <row r="20" spans="1:13" ht="15" customHeight="1" x14ac:dyDescent="0.25">
      <c r="A20" s="18"/>
      <c r="B20" s="18"/>
      <c r="C20" s="18"/>
      <c r="D20" s="18"/>
      <c r="E20" s="18"/>
      <c r="F20" s="18"/>
      <c r="G20" s="18"/>
      <c r="H20" s="18"/>
      <c r="I20" s="18"/>
      <c r="J20" s="18"/>
      <c r="K20" s="18"/>
      <c r="L20" s="18"/>
    </row>
    <row r="21" spans="1:13" ht="15" customHeight="1" x14ac:dyDescent="0.25">
      <c r="A21" s="15">
        <v>3</v>
      </c>
      <c r="B21" s="73" t="str">
        <f>VLOOKUP(A21,MEMORIA!A:P,2,FALSE)</f>
        <v>movimentação de terra / fundações</v>
      </c>
      <c r="C21" s="74"/>
      <c r="D21" s="74"/>
      <c r="E21" s="74"/>
      <c r="F21" s="74"/>
      <c r="G21" s="74"/>
      <c r="H21" s="74"/>
      <c r="I21" s="74"/>
      <c r="J21" s="75"/>
      <c r="K21" s="76">
        <f>SUM(K22:L26)</f>
        <v>20396.86</v>
      </c>
      <c r="L21" s="72"/>
    </row>
    <row r="22" spans="1:13" ht="45" customHeight="1" x14ac:dyDescent="0.25">
      <c r="A22" s="16" t="s">
        <v>46</v>
      </c>
      <c r="B22" s="16">
        <f>VLOOKUP(A22,MEMORIA!A:P,2,FALSE)</f>
        <v>96526</v>
      </c>
      <c r="C22" s="77" t="str">
        <f>VLOOKUP(A22,MEMORIA!A:P,3,FALSE)</f>
        <v>ESCAVAÇÃO MANUAL DE VALA PARA VIGA BALDRAME, SEM PREVISÃO DE FÔRMA. AF_06/2017</v>
      </c>
      <c r="D22" s="77"/>
      <c r="E22" s="77"/>
      <c r="F22" s="77"/>
      <c r="G22" s="16" t="str">
        <f>VLOOKUP(A22,MEMORIA!A:P,7,FALSE)</f>
        <v>M3</v>
      </c>
      <c r="H22" s="17">
        <f>VLOOKUP(A22,MEMORIA!A:P,16,FALSE)</f>
        <v>16.55</v>
      </c>
      <c r="I22" s="78">
        <f>VLOOKUP("TOTAL - "&amp;B22,COMPOSICAO!A:K,10,FALSE)</f>
        <v>269.67</v>
      </c>
      <c r="J22" s="79"/>
      <c r="K22" s="80">
        <f>ROUND(H22*I22,2)</f>
        <v>4463.04</v>
      </c>
      <c r="L22" s="81"/>
    </row>
    <row r="23" spans="1:13" ht="30" customHeight="1" x14ac:dyDescent="0.25">
      <c r="A23" s="16" t="s">
        <v>47</v>
      </c>
      <c r="B23" s="16" t="str">
        <f>VLOOKUP(A23,MEMORIA!A:P,2,FALSE)</f>
        <v>c0054</v>
      </c>
      <c r="C23" s="77" t="str">
        <f>VLOOKUP(A23,MEMORIA!A:P,3,FALSE)</f>
        <v>ALVENARIA DE EMBASAMENTO DE PEDRA ARGAMASSADA</v>
      </c>
      <c r="D23" s="77"/>
      <c r="E23" s="77"/>
      <c r="F23" s="77"/>
      <c r="G23" s="16" t="str">
        <f>VLOOKUP(A23,MEMORIA!A:P,7,FALSE)</f>
        <v>M3</v>
      </c>
      <c r="H23" s="17">
        <f>VLOOKUP(A23,MEMORIA!A:P,16,FALSE)</f>
        <v>16.55</v>
      </c>
      <c r="I23" s="78">
        <f>VLOOKUP("TOTAL - "&amp;B23,COMPOSICAO!A:K,10,FALSE)</f>
        <v>502.35</v>
      </c>
      <c r="J23" s="79"/>
      <c r="K23" s="80">
        <f>ROUND(H23*I23,2)</f>
        <v>8313.89</v>
      </c>
      <c r="L23" s="81"/>
    </row>
    <row r="24" spans="1:13" ht="90" customHeight="1" x14ac:dyDescent="0.25">
      <c r="A24" s="16" t="s">
        <v>48</v>
      </c>
      <c r="B24" s="16">
        <f>VLOOKUP(A24,MEMORIA!A:P,2,FALSE)</f>
        <v>87525</v>
      </c>
      <c r="C24" s="77" t="str">
        <f>VLOOKUP(A24,MEMORIA!A:P,3,FALSE)</f>
        <v>ALVENARIA DE VEDAÇÃO DE BLOCOS CERÂMICOS FURADOS NA HORIZONTAL DE 14X9X19CM (ESPESSURA 14CM, BLOCO DEITADO) DE PAREDES COM ÁREA LÍQUIDA MAIOR OU IGUAL A 6M² COM VÃOS E ARGAMASSA DE ASSENTAMENTO COM PREPARO EM BETONEIRA. AF_06/2014</v>
      </c>
      <c r="D24" s="77"/>
      <c r="E24" s="77"/>
      <c r="F24" s="77"/>
      <c r="G24" s="16" t="str">
        <f>VLOOKUP(A24,MEMORIA!A:P,7,FALSE)</f>
        <v>M2</v>
      </c>
      <c r="H24" s="17">
        <f>VLOOKUP(A24,MEMORIA!A:P,16,FALSE)</f>
        <v>19.850000000000001</v>
      </c>
      <c r="I24" s="78">
        <f>VLOOKUP("TOTAL - "&amp;B24,COMPOSICAO!A:K,10,FALSE)</f>
        <v>150.29</v>
      </c>
      <c r="J24" s="79"/>
      <c r="K24" s="80">
        <f>ROUND(H24*I24,2)</f>
        <v>2983.26</v>
      </c>
      <c r="L24" s="81"/>
    </row>
    <row r="25" spans="1:13" ht="45" customHeight="1" x14ac:dyDescent="0.25">
      <c r="A25" s="16" t="s">
        <v>49</v>
      </c>
      <c r="B25" s="16">
        <f>VLOOKUP(A25,MEMORIA!A:P,2,FALSE)</f>
        <v>94319</v>
      </c>
      <c r="C25" s="77" t="str">
        <f>VLOOKUP(A25,MEMORIA!A:P,3,FALSE)</f>
        <v>ATERRO MANUAL DE VALAS COM SOLO ARGILO-ARENOSO E COMPACTAÇÃO MECANIZADA. AF_05/2016</v>
      </c>
      <c r="D25" s="77"/>
      <c r="E25" s="77"/>
      <c r="F25" s="77"/>
      <c r="G25" s="16" t="str">
        <f>VLOOKUP(A25,MEMORIA!A:P,7,FALSE)</f>
        <v>M3</v>
      </c>
      <c r="H25" s="17">
        <f>VLOOKUP(A25,MEMORIA!A:P,16,FALSE)</f>
        <v>95.699999999999989</v>
      </c>
      <c r="I25" s="78">
        <f>VLOOKUP("TOTAL - "&amp;B25,COMPOSICAO!A:K,10,FALSE)</f>
        <v>48.45</v>
      </c>
      <c r="J25" s="79"/>
      <c r="K25" s="80">
        <f>ROUND(H25*I25,2)</f>
        <v>4636.67</v>
      </c>
      <c r="L25" s="81"/>
    </row>
    <row r="26" spans="1:13" ht="15" customHeight="1" x14ac:dyDescent="0.25">
      <c r="A26" s="18"/>
      <c r="B26" s="18"/>
      <c r="C26" s="18"/>
      <c r="D26" s="18"/>
      <c r="E26" s="18"/>
      <c r="F26" s="18"/>
      <c r="G26" s="18"/>
      <c r="H26" s="18"/>
      <c r="I26" s="18"/>
      <c r="J26" s="18"/>
      <c r="K26" s="18"/>
      <c r="L26" s="18"/>
    </row>
    <row r="27" spans="1:13" ht="15" customHeight="1" x14ac:dyDescent="0.25">
      <c r="A27" s="15">
        <v>4</v>
      </c>
      <c r="B27" s="73" t="str">
        <f>VLOOKUP(A27,MEMORIA!A:P,2,FALSE)</f>
        <v>estrutural</v>
      </c>
      <c r="C27" s="74"/>
      <c r="D27" s="74"/>
      <c r="E27" s="74"/>
      <c r="F27" s="74"/>
      <c r="G27" s="74"/>
      <c r="H27" s="74"/>
      <c r="I27" s="74"/>
      <c r="J27" s="75"/>
      <c r="K27" s="76">
        <f>SUM(K28:L30)</f>
        <v>29124.879999999997</v>
      </c>
      <c r="L27" s="72"/>
    </row>
    <row r="28" spans="1:13" ht="75" customHeight="1" x14ac:dyDescent="0.25">
      <c r="A28" s="16" t="s">
        <v>50</v>
      </c>
      <c r="B28" s="16">
        <f>VLOOKUP(A28,MEMORIA!A:P,2,FALSE)</f>
        <v>95952</v>
      </c>
      <c r="C28" s="77" t="str">
        <f>VLOOKUP(A28,MEMORIA!A:P,3,FALSE)</f>
        <v>(COMPOSIÇÃO REPRESENTATIVA) EXECUÇÃO DE ESTRUTURAS DE CONCRETO ARMADO CONVENCIONAL, PARA EDIFICAÇÃO HABITACIONAL MULTIFAMILIAR (PRÉDIO), FCK = 25 MPA. AF_01/2017</v>
      </c>
      <c r="D28" s="77"/>
      <c r="E28" s="77"/>
      <c r="F28" s="77"/>
      <c r="G28" s="16" t="str">
        <f>VLOOKUP(A28,MEMORIA!A:P,7,FALSE)</f>
        <v>M3</v>
      </c>
      <c r="H28" s="17">
        <f>VLOOKUP(A28,MEMORIA!A:P,16,FALSE)</f>
        <v>10.32</v>
      </c>
      <c r="I28" s="78">
        <f>VLOOKUP("TOTAL - "&amp;B28,COMPOSICAO!A:K,10,FALSE)</f>
        <v>2340.87</v>
      </c>
      <c r="J28" s="79"/>
      <c r="K28" s="80">
        <f>ROUND(H28*I28,2)</f>
        <v>24157.78</v>
      </c>
      <c r="L28" s="81"/>
    </row>
    <row r="29" spans="1:13" ht="30" customHeight="1" x14ac:dyDescent="0.25">
      <c r="A29" s="16" t="s">
        <v>51</v>
      </c>
      <c r="B29" s="16">
        <f>VLOOKUP(A29,MEMORIA!A:P,2,FALSE)</f>
        <v>98557</v>
      </c>
      <c r="C29" s="77" t="str">
        <f>VLOOKUP(A29,MEMORIA!A:P,3,FALSE)</f>
        <v>IMPERMEABILIZAÇÃO DE SUPERFÍCIE COM EMULSÃO ASFÁLTICA, 2 DEMÃOS AF_06/2018</v>
      </c>
      <c r="D29" s="77"/>
      <c r="E29" s="77"/>
      <c r="F29" s="77"/>
      <c r="G29" s="16" t="str">
        <f>VLOOKUP(A29,MEMORIA!A:P,7,FALSE)</f>
        <v>M2</v>
      </c>
      <c r="H29" s="17">
        <f>VLOOKUP(A29,MEMORIA!A:P,16,FALSE)</f>
        <v>102.33</v>
      </c>
      <c r="I29" s="78">
        <f>VLOOKUP("TOTAL - "&amp;B29,COMPOSICAO!A:K,10,FALSE)</f>
        <v>48.54</v>
      </c>
      <c r="J29" s="79"/>
      <c r="K29" s="80">
        <f>ROUND(H29*I29,2)</f>
        <v>4967.1000000000004</v>
      </c>
      <c r="L29" s="81"/>
    </row>
    <row r="30" spans="1:13" ht="15" customHeight="1" x14ac:dyDescent="0.25">
      <c r="A30" s="18"/>
      <c r="B30" s="18"/>
      <c r="C30" s="18"/>
      <c r="D30" s="18"/>
      <c r="E30" s="18"/>
      <c r="F30" s="18"/>
      <c r="G30" s="18"/>
      <c r="H30" s="18"/>
      <c r="I30" s="18"/>
      <c r="J30" s="18"/>
      <c r="K30" s="18"/>
      <c r="L30" s="18"/>
    </row>
    <row r="31" spans="1:13" ht="15" customHeight="1" x14ac:dyDescent="0.25">
      <c r="A31" s="15">
        <v>5</v>
      </c>
      <c r="B31" s="73" t="str">
        <f>VLOOKUP(A31,MEMORIA!A:P,2,FALSE)</f>
        <v>cobertura</v>
      </c>
      <c r="C31" s="74"/>
      <c r="D31" s="74"/>
      <c r="E31" s="74"/>
      <c r="F31" s="74"/>
      <c r="G31" s="74"/>
      <c r="H31" s="74"/>
      <c r="I31" s="74"/>
      <c r="J31" s="75"/>
      <c r="K31" s="76">
        <f>SUM(K32:L35)</f>
        <v>37342.79</v>
      </c>
      <c r="L31" s="72"/>
    </row>
    <row r="32" spans="1:13" ht="60" customHeight="1" x14ac:dyDescent="0.25">
      <c r="A32" s="16" t="s">
        <v>52</v>
      </c>
      <c r="B32" s="16">
        <f>VLOOKUP(A32,MEMORIA!A:P,2,FALSE)</f>
        <v>92550</v>
      </c>
      <c r="C32" s="77" t="str">
        <f>VLOOKUP(A32,MEMORIA!A:P,3,FALSE)</f>
        <v>FABRICAÇÃO E INSTALAÇÃO DE TESOURA INTEIRA EM MADEIRA NÃO APARELHADA, VÃO DE 8 M, PARA TELHA CERÂMICA OU DE CONCRETO, INCLUSO IÇAMENTO. AF_07/2019</v>
      </c>
      <c r="D32" s="77"/>
      <c r="E32" s="77"/>
      <c r="F32" s="77"/>
      <c r="G32" s="16" t="str">
        <f>VLOOKUP(A32,MEMORIA!A:P,7,FALSE)</f>
        <v>UN</v>
      </c>
      <c r="H32" s="17">
        <f>VLOOKUP(A32,MEMORIA!A:P,16,FALSE)</f>
        <v>8</v>
      </c>
      <c r="I32" s="78">
        <f>VLOOKUP("TOTAL - "&amp;B32,COMPOSICAO!A:K,10,FALSE)</f>
        <v>2031.9899999999998</v>
      </c>
      <c r="J32" s="79"/>
      <c r="K32" s="80">
        <f>ROUND(H32*I32,2)</f>
        <v>16255.92</v>
      </c>
      <c r="L32" s="81"/>
    </row>
    <row r="33" spans="1:12" ht="60" customHeight="1" x14ac:dyDescent="0.25">
      <c r="A33" s="16" t="s">
        <v>53</v>
      </c>
      <c r="B33" s="16">
        <f>VLOOKUP(A33,MEMORIA!A:P,2,FALSE)</f>
        <v>92541</v>
      </c>
      <c r="C33" s="77" t="str">
        <f>VLOOKUP(A33,MEMORIA!A:P,3,FALSE)</f>
        <v>TRAMA DE MADEIRA COMPOSTA POR RIPAS, CAIBROS E TERÇAS PARA TELHADOS DE ATÉ 2 ÁGUAS PARA TELHA CERÂMICA CAPA-CANAL, INCLUSO TRANSPORTE VERTICAL. AF_07/2019</v>
      </c>
      <c r="D33" s="77"/>
      <c r="E33" s="77"/>
      <c r="F33" s="77"/>
      <c r="G33" s="16" t="str">
        <f>VLOOKUP(A33,MEMORIA!A:P,7,FALSE)</f>
        <v>M2</v>
      </c>
      <c r="H33" s="17">
        <f>VLOOKUP(A33,MEMORIA!A:P,16,FALSE)</f>
        <v>176.56</v>
      </c>
      <c r="I33" s="78">
        <f>VLOOKUP("TOTAL - "&amp;B33,COMPOSICAO!A:K,10,FALSE)</f>
        <v>74.22</v>
      </c>
      <c r="J33" s="79"/>
      <c r="K33" s="80">
        <f>ROUND(H33*I33,2)</f>
        <v>13104.28</v>
      </c>
      <c r="L33" s="81"/>
    </row>
    <row r="34" spans="1:12" ht="45" customHeight="1" x14ac:dyDescent="0.25">
      <c r="A34" s="16" t="s">
        <v>54</v>
      </c>
      <c r="B34" s="16">
        <f>VLOOKUP(A34,MEMORIA!A:P,2,FALSE)</f>
        <v>94204</v>
      </c>
      <c r="C34" s="77" t="str">
        <f>VLOOKUP(A34,MEMORIA!A:P,3,FALSE)</f>
        <v>TELHAMENTO COM TELHA CERÂMICA CAPA-CANAL, TIPO COLONIAL, COM MAIS DE 2 ÁGUAS, INCLUSO TRANSPORTE VERTICAL. AF_07/2019</v>
      </c>
      <c r="D34" s="77"/>
      <c r="E34" s="77"/>
      <c r="F34" s="77"/>
      <c r="G34" s="16" t="str">
        <f>VLOOKUP(A34,MEMORIA!A:P,7,FALSE)</f>
        <v>M2</v>
      </c>
      <c r="H34" s="17">
        <f>VLOOKUP(A34,MEMORIA!A:P,16,FALSE)</f>
        <v>181.34</v>
      </c>
      <c r="I34" s="78">
        <f>VLOOKUP("TOTAL - "&amp;B34,COMPOSICAO!A:K,10,FALSE)</f>
        <v>44.02</v>
      </c>
      <c r="J34" s="79"/>
      <c r="K34" s="80">
        <f>ROUND(H34*I34,2)</f>
        <v>7982.59</v>
      </c>
      <c r="L34" s="81"/>
    </row>
    <row r="35" spans="1:12" ht="15" customHeight="1" x14ac:dyDescent="0.25">
      <c r="A35" s="18"/>
      <c r="B35" s="18"/>
      <c r="C35" s="18"/>
      <c r="D35" s="18"/>
      <c r="E35" s="18"/>
      <c r="F35" s="18"/>
      <c r="G35" s="18"/>
      <c r="H35" s="18"/>
      <c r="I35" s="18"/>
      <c r="J35" s="18"/>
      <c r="K35" s="18"/>
      <c r="L35" s="18"/>
    </row>
    <row r="36" spans="1:12" ht="15" customHeight="1" x14ac:dyDescent="0.25">
      <c r="A36" s="15">
        <v>6</v>
      </c>
      <c r="B36" s="73" t="str">
        <f>VLOOKUP(A36,MEMORIA!A:P,2,FALSE)</f>
        <v>revestimentos</v>
      </c>
      <c r="C36" s="74"/>
      <c r="D36" s="74"/>
      <c r="E36" s="74"/>
      <c r="F36" s="74"/>
      <c r="G36" s="74"/>
      <c r="H36" s="74"/>
      <c r="I36" s="74"/>
      <c r="J36" s="75"/>
      <c r="K36" s="76">
        <f>SUM(K37:L45)</f>
        <v>67071.11</v>
      </c>
      <c r="L36" s="72"/>
    </row>
    <row r="37" spans="1:12" ht="90" customHeight="1" x14ac:dyDescent="0.25">
      <c r="A37" s="16" t="s">
        <v>55</v>
      </c>
      <c r="B37" s="16">
        <f>VLOOKUP(A37,MEMORIA!A:P,2,FALSE)</f>
        <v>87523</v>
      </c>
      <c r="C37" s="77" t="str">
        <f>VLOOKUP(A37,MEMORIA!A:P,3,FALSE)</f>
        <v>ALVENARIA DE VEDAÇÃO DE BLOCOS CERÂMICOS FURADOS NA HORIZONTAL DE 9X14X19CM (ESPESSURA 9CM) DE PAREDES COM ÁREA LÍQUIDA MAIOR OU IGUAL A 6M² COM VÃOS E ARGAMASSA DE ASSENTAMENTO COM PREPARO EM BETONEIRA. AF_06/2014</v>
      </c>
      <c r="D37" s="77"/>
      <c r="E37" s="77"/>
      <c r="F37" s="77"/>
      <c r="G37" s="16" t="str">
        <f>VLOOKUP(A37,MEMORIA!A:P,7,FALSE)</f>
        <v>M2</v>
      </c>
      <c r="H37" s="17">
        <f>VLOOKUP(A37,MEMORIA!A:P,16,FALSE)</f>
        <v>186.06</v>
      </c>
      <c r="I37" s="78">
        <f>VLOOKUP("TOTAL - "&amp;B37,COMPOSICAO!A:K,10,FALSE)</f>
        <v>97.65</v>
      </c>
      <c r="J37" s="79"/>
      <c r="K37" s="80">
        <f t="shared" ref="K37:K44" si="1">ROUND(H37*I37,2)</f>
        <v>18168.759999999998</v>
      </c>
      <c r="L37" s="81"/>
    </row>
    <row r="38" spans="1:12" ht="75" customHeight="1" x14ac:dyDescent="0.25">
      <c r="A38" s="16" t="s">
        <v>56</v>
      </c>
      <c r="B38" s="16">
        <f>VLOOKUP(A38,MEMORIA!A:P,2,FALSE)</f>
        <v>87905</v>
      </c>
      <c r="C38" s="77" t="str">
        <f>VLOOKUP(A38,MEMORIA!A:P,3,FALSE)</f>
        <v>CHAPISCO APLICADO EM ALVENARIA (COM PRESENÇA DE VÃOS) E ESTRUTURAS DE CONCRETO DE FACHADA, COM COLHER DE PEDREIRO.  ARGAMASSA TRAÇO 1:3 COM PREPARO EM BETONEIRA 400L. AF_06/2014</v>
      </c>
      <c r="D38" s="77"/>
      <c r="E38" s="77"/>
      <c r="F38" s="77"/>
      <c r="G38" s="16" t="str">
        <f>VLOOKUP(A38,MEMORIA!A:P,7,FALSE)</f>
        <v>M2</v>
      </c>
      <c r="H38" s="17">
        <f>VLOOKUP(A38,MEMORIA!A:P,16,FALSE)</f>
        <v>372.12</v>
      </c>
      <c r="I38" s="78">
        <f>VLOOKUP("TOTAL - "&amp;B38,COMPOSICAO!A:K,10,FALSE)</f>
        <v>8.27</v>
      </c>
      <c r="J38" s="79"/>
      <c r="K38" s="80">
        <f t="shared" si="1"/>
        <v>3077.43</v>
      </c>
      <c r="L38" s="81"/>
    </row>
    <row r="39" spans="1:12" ht="75" customHeight="1" x14ac:dyDescent="0.25">
      <c r="A39" s="16" t="s">
        <v>57</v>
      </c>
      <c r="B39" s="16">
        <f>VLOOKUP(A39,MEMORIA!A:P,2,FALSE)</f>
        <v>87530</v>
      </c>
      <c r="C39" s="77" t="str">
        <f>VLOOKUP(A39,MEMORIA!A:P,3,FALSE)</f>
        <v>MASSA ÚNICA, PARA RECEBIMENTO DE PINTURA, EM ARGAMASSA TRAÇO 1:2:8, PREPARO MANUAL, APLICADA MANUALMENTE EM FACES INTERNAS DE PAREDES, ESPESSURA DE 20MM, COM EXECUÇÃO DE TALISCAS. AF_06/2014</v>
      </c>
      <c r="D39" s="77"/>
      <c r="E39" s="77"/>
      <c r="F39" s="77"/>
      <c r="G39" s="16" t="str">
        <f>VLOOKUP(A39,MEMORIA!A:P,7,FALSE)</f>
        <v>M2</v>
      </c>
      <c r="H39" s="17">
        <f>VLOOKUP(A39,MEMORIA!A:P,16,FALSE)</f>
        <v>372.12</v>
      </c>
      <c r="I39" s="78">
        <f>VLOOKUP("TOTAL - "&amp;B39,COMPOSICAO!A:K,10,FALSE)</f>
        <v>39.01</v>
      </c>
      <c r="J39" s="79"/>
      <c r="K39" s="80">
        <f t="shared" si="1"/>
        <v>14516.4</v>
      </c>
      <c r="L39" s="81"/>
    </row>
    <row r="40" spans="1:12" ht="90" customHeight="1" x14ac:dyDescent="0.25">
      <c r="A40" s="16" t="s">
        <v>58</v>
      </c>
      <c r="B40" s="16">
        <f>VLOOKUP(A40,MEMORIA!A:P,2,FALSE)</f>
        <v>99198</v>
      </c>
      <c r="C40" s="77" t="str">
        <f>VLOOKUP(A40,MEMORIA!A:P,3,FALSE)</f>
        <v>REVESTIMENTO CERÂMICO PARA PAREDES INTERNAS COM PLACAS TIPO ESMALTADA PADRÃO POPULAR DE DIMENSÕES 20X20 CM, ARGAMASSA TIPO AC III, APLICADAS EM AMBIENTES DE ÁREA MAIOR QUE 5 M2 A MEIA ALTURA DAS PAREDES. AF_06/2014</v>
      </c>
      <c r="D40" s="77"/>
      <c r="E40" s="77"/>
      <c r="F40" s="77"/>
      <c r="G40" s="16" t="str">
        <f>VLOOKUP(A40,MEMORIA!A:P,7,FALSE)</f>
        <v>M2</v>
      </c>
      <c r="H40" s="17">
        <f>VLOOKUP(A40,MEMORIA!A:P,16,FALSE)</f>
        <v>38.559999999999995</v>
      </c>
      <c r="I40" s="78">
        <f>VLOOKUP("TOTAL - "&amp;B40,COMPOSICAO!A:K,10,FALSE)</f>
        <v>70.83</v>
      </c>
      <c r="J40" s="79"/>
      <c r="K40" s="80">
        <f t="shared" si="1"/>
        <v>2731.2</v>
      </c>
      <c r="L40" s="81"/>
    </row>
    <row r="41" spans="1:12" ht="90" customHeight="1" x14ac:dyDescent="0.25">
      <c r="A41" s="16" t="s">
        <v>59</v>
      </c>
      <c r="B41" s="16">
        <f>VLOOKUP(A41,MEMORIA!A:P,2,FALSE)</f>
        <v>89171</v>
      </c>
      <c r="C41" s="77" t="str">
        <f>VLOOKUP(A41,MEMORIA!A:P,3,FALSE)</f>
        <v>(COMPOSIÇÃO REPRESENTATIVA) DO SERVIÇO DE REVESTIMENTO CERÂMICO PARA PISO COM PLACAS TIPO ESMALTADA EXTRA DE DIMENSÕES 35X35 CM, PARA EDIFICAÇÃO HABITACIONAL UNIFAMILIAR (CASA) E EDIFICAÇÃO PÚBLICA PADRÃO. AF_11/2014</v>
      </c>
      <c r="D41" s="77"/>
      <c r="E41" s="77"/>
      <c r="F41" s="77"/>
      <c r="G41" s="16" t="str">
        <f>VLOOKUP(A41,MEMORIA!A:P,7,FALSE)</f>
        <v>M2</v>
      </c>
      <c r="H41" s="17">
        <f>VLOOKUP(A41,MEMORIA!A:P,16,FALSE)</f>
        <v>124.96999999999998</v>
      </c>
      <c r="I41" s="78">
        <f>VLOOKUP("TOTAL - "&amp;B41,COMPOSICAO!A:K,10,FALSE)</f>
        <v>61.389999999999993</v>
      </c>
      <c r="J41" s="79"/>
      <c r="K41" s="80">
        <f t="shared" si="1"/>
        <v>7671.91</v>
      </c>
      <c r="L41" s="81"/>
    </row>
    <row r="42" spans="1:12" ht="45" customHeight="1" x14ac:dyDescent="0.25">
      <c r="A42" s="16" t="s">
        <v>60</v>
      </c>
      <c r="B42" s="16">
        <f>VLOOKUP(A42,MEMORIA!A:P,2,FALSE)</f>
        <v>96116</v>
      </c>
      <c r="C42" s="77" t="str">
        <f>VLOOKUP(A42,MEMORIA!A:P,3,FALSE)</f>
        <v>FORRO EM RÉGUAS DE PVC, FRISADO, PARA AMBIENTES COMERCIAIS, INCLUSIVE ESTRUTURA DE FIXAÇÃO. AF_05/2017_P</v>
      </c>
      <c r="D42" s="77"/>
      <c r="E42" s="77"/>
      <c r="F42" s="77"/>
      <c r="G42" s="16" t="str">
        <f>VLOOKUP(A42,MEMORIA!A:P,7,FALSE)</f>
        <v>M2</v>
      </c>
      <c r="H42" s="17">
        <f>VLOOKUP(A42,MEMORIA!A:P,16,FALSE)</f>
        <v>124.97</v>
      </c>
      <c r="I42" s="78">
        <f>VLOOKUP("TOTAL - "&amp;B42,COMPOSICAO!A:K,10,FALSE)</f>
        <v>94.890000000000015</v>
      </c>
      <c r="J42" s="79"/>
      <c r="K42" s="80">
        <f t="shared" si="1"/>
        <v>11858.4</v>
      </c>
      <c r="L42" s="81"/>
    </row>
    <row r="43" spans="1:12" ht="30" customHeight="1" x14ac:dyDescent="0.25">
      <c r="A43" s="16" t="s">
        <v>61</v>
      </c>
      <c r="B43" s="16">
        <f>VLOOKUP(A43,MEMORIA!A:P,2,FALSE)</f>
        <v>98689</v>
      </c>
      <c r="C43" s="77" t="str">
        <f>VLOOKUP(A43,MEMORIA!A:P,3,FALSE)</f>
        <v>SOLEIRA EM GRANITO, LARGURA 15 CM, ESPESSURA 2,0 CM. AF_09/2020</v>
      </c>
      <c r="D43" s="77"/>
      <c r="E43" s="77"/>
      <c r="F43" s="77"/>
      <c r="G43" s="16" t="str">
        <f>VLOOKUP(A43,MEMORIA!A:P,7,FALSE)</f>
        <v>M</v>
      </c>
      <c r="H43" s="17">
        <f>VLOOKUP(A43,MEMORIA!A:P,16,FALSE)</f>
        <v>5.12</v>
      </c>
      <c r="I43" s="78">
        <f>VLOOKUP("TOTAL - "&amp;B43,COMPOSICAO!A:K,10,FALSE)</f>
        <v>93.61</v>
      </c>
      <c r="J43" s="79"/>
      <c r="K43" s="80">
        <f t="shared" si="1"/>
        <v>479.28</v>
      </c>
      <c r="L43" s="81"/>
    </row>
    <row r="44" spans="1:12" ht="45" customHeight="1" x14ac:dyDescent="0.25">
      <c r="A44" s="16" t="s">
        <v>62</v>
      </c>
      <c r="B44" s="16" t="str">
        <f>VLOOKUP(A44,MEMORIA!A:P,2,FALSE)</f>
        <v>00191/orse</v>
      </c>
      <c r="C44" s="77" t="str">
        <f>VLOOKUP(A44,MEMORIA!A:P,3,FALSE)</f>
        <v>DIVISÓRIA EM GRANITO CINZA ANDORINHA POLIDO, E=2CM, INCLUSIVE MONTAGEM COM FERRAGENS - REV 02</v>
      </c>
      <c r="D44" s="77"/>
      <c r="E44" s="77"/>
      <c r="F44" s="77"/>
      <c r="G44" s="16" t="str">
        <f>VLOOKUP(A44,MEMORIA!A:P,7,FALSE)</f>
        <v>M2</v>
      </c>
      <c r="H44" s="17">
        <f>VLOOKUP(A44,MEMORIA!A:P,16,FALSE)</f>
        <v>13.6</v>
      </c>
      <c r="I44" s="78">
        <f>VLOOKUP("TOTAL - "&amp;B44,COMPOSICAO!A:K,10,FALSE)</f>
        <v>629.98</v>
      </c>
      <c r="J44" s="79"/>
      <c r="K44" s="80">
        <f t="shared" si="1"/>
        <v>8567.73</v>
      </c>
      <c r="L44" s="81"/>
    </row>
    <row r="45" spans="1:12" ht="15" customHeight="1" x14ac:dyDescent="0.25">
      <c r="A45" s="18"/>
      <c r="B45" s="18"/>
      <c r="C45" s="18"/>
      <c r="D45" s="18"/>
      <c r="E45" s="18"/>
      <c r="F45" s="18"/>
      <c r="G45" s="18"/>
      <c r="H45" s="18"/>
      <c r="I45" s="18"/>
      <c r="J45" s="18"/>
      <c r="K45" s="18"/>
      <c r="L45" s="18"/>
    </row>
    <row r="46" spans="1:12" ht="15" customHeight="1" x14ac:dyDescent="0.25">
      <c r="A46" s="15">
        <v>7</v>
      </c>
      <c r="B46" s="73" t="str">
        <f>VLOOKUP(A46,MEMORIA!A:P,2,FALSE)</f>
        <v>pisos e calçadas</v>
      </c>
      <c r="C46" s="74"/>
      <c r="D46" s="74"/>
      <c r="E46" s="74"/>
      <c r="F46" s="74"/>
      <c r="G46" s="74"/>
      <c r="H46" s="74"/>
      <c r="I46" s="74"/>
      <c r="J46" s="75"/>
      <c r="K46" s="76">
        <f>SUM(K47:L48)</f>
        <v>20596.330000000002</v>
      </c>
      <c r="L46" s="72"/>
    </row>
    <row r="47" spans="1:12" ht="60" customHeight="1" x14ac:dyDescent="0.25">
      <c r="A47" s="16" t="s">
        <v>63</v>
      </c>
      <c r="B47" s="16">
        <f>VLOOKUP(A47,MEMORIA!A:P,2,FALSE)</f>
        <v>94992</v>
      </c>
      <c r="C47" s="77" t="str">
        <f>VLOOKUP(A47,MEMORIA!A:P,3,FALSE)</f>
        <v>EXECUÇÃO DE PASSEIO (CALÇADA) OU PISO DE CONCRETO COM CONCRETO MOLDADO IN LOCO, FEITO EM OBRA, ACABAMENTO CONVENCIONAL, ESPESSURA 6 CM, ARMADO. AF_07/2016</v>
      </c>
      <c r="D47" s="77"/>
      <c r="E47" s="77"/>
      <c r="F47" s="77"/>
      <c r="G47" s="16" t="str">
        <f>VLOOKUP(A47,MEMORIA!A:P,7,FALSE)</f>
        <v>M2</v>
      </c>
      <c r="H47" s="17">
        <f>VLOOKUP(A47,MEMORIA!A:P,16,FALSE)</f>
        <v>207.29</v>
      </c>
      <c r="I47" s="78">
        <f>VLOOKUP("TOTAL - "&amp;B47,COMPOSICAO!A:K,10,FALSE)</f>
        <v>99.36</v>
      </c>
      <c r="J47" s="79"/>
      <c r="K47" s="80">
        <f>ROUND(H47*I47,2)</f>
        <v>20596.330000000002</v>
      </c>
      <c r="L47" s="81"/>
    </row>
    <row r="48" spans="1:12" ht="15" customHeight="1" x14ac:dyDescent="0.25">
      <c r="A48" s="18"/>
      <c r="B48" s="18"/>
      <c r="C48" s="18"/>
      <c r="D48" s="18"/>
      <c r="E48" s="18"/>
      <c r="F48" s="18"/>
      <c r="G48" s="18"/>
      <c r="H48" s="18"/>
      <c r="I48" s="18"/>
      <c r="J48" s="18"/>
      <c r="K48" s="18"/>
      <c r="L48" s="18"/>
    </row>
    <row r="49" spans="1:13" ht="15" customHeight="1" x14ac:dyDescent="0.25">
      <c r="A49" s="15">
        <v>8</v>
      </c>
      <c r="B49" s="73" t="str">
        <f>VLOOKUP(A49,MEMORIA!A:P,2,FALSE)</f>
        <v>esquadrias</v>
      </c>
      <c r="C49" s="74"/>
      <c r="D49" s="74"/>
      <c r="E49" s="74"/>
      <c r="F49" s="74"/>
      <c r="G49" s="74"/>
      <c r="H49" s="74"/>
      <c r="I49" s="74"/>
      <c r="J49" s="75"/>
      <c r="K49" s="76">
        <f>SUM(K50:L57)</f>
        <v>23786.650000000005</v>
      </c>
      <c r="L49" s="72"/>
    </row>
    <row r="50" spans="1:13" ht="60" customHeight="1" x14ac:dyDescent="0.25">
      <c r="A50" s="16" t="s">
        <v>64</v>
      </c>
      <c r="B50" s="16">
        <f>VLOOKUP(A50,MEMORIA!A:P,2,FALSE)</f>
        <v>91341</v>
      </c>
      <c r="C50" s="77" t="str">
        <f>VLOOKUP(A50,MEMORIA!A:P,3,FALSE)</f>
        <v>PORTA EM ALUMÍNIO DE ABRIR TIPO VENEZIANA COM GUARNIÇÃO, FIXAÇÃO COM PARAFUSOS - FORNECIMENTO E INSTALAÇÃO. AF_12/2019</v>
      </c>
      <c r="D50" s="77"/>
      <c r="E50" s="77"/>
      <c r="F50" s="77"/>
      <c r="G50" s="16" t="str">
        <f>VLOOKUP(A50,MEMORIA!A:P,7,FALSE)</f>
        <v>M2</v>
      </c>
      <c r="H50" s="17">
        <f>VLOOKUP(A50,MEMORIA!A:P,16,FALSE)</f>
        <v>3.36</v>
      </c>
      <c r="I50" s="78">
        <f>VLOOKUP("TOTAL - "&amp;B50,COMPOSICAO!A:K,10,FALSE)</f>
        <v>661.79000000000008</v>
      </c>
      <c r="J50" s="79"/>
      <c r="K50" s="80">
        <f t="shared" ref="K50:K56" si="2">ROUND(H50*I50,2)</f>
        <v>2223.61</v>
      </c>
      <c r="L50" s="81"/>
    </row>
    <row r="51" spans="1:13" ht="30" customHeight="1" x14ac:dyDescent="0.25">
      <c r="A51" s="16" t="s">
        <v>65</v>
      </c>
      <c r="B51" s="16" t="str">
        <f>VLOOKUP(A51,MEMORIA!A:P,2,FALSE)</f>
        <v>c1968</v>
      </c>
      <c r="C51" s="77" t="str">
        <f>VLOOKUP(A51,MEMORIA!A:P,3,FALSE)</f>
        <v>PORTA DE ALUMÍNIO C/VIDRO CRISTAL TEMPERADO</v>
      </c>
      <c r="D51" s="77"/>
      <c r="E51" s="77"/>
      <c r="F51" s="77"/>
      <c r="G51" s="16" t="str">
        <f>VLOOKUP(A51,MEMORIA!A:P,7,FALSE)</f>
        <v>M2</v>
      </c>
      <c r="H51" s="17">
        <f>VLOOKUP(A51,MEMORIA!A:P,16,FALSE)</f>
        <v>7.4</v>
      </c>
      <c r="I51" s="78">
        <f>VLOOKUP("TOTAL - "&amp;B51,COMPOSICAO!A:K,10,FALSE)</f>
        <v>470.00000000000006</v>
      </c>
      <c r="J51" s="79"/>
      <c r="K51" s="80">
        <f t="shared" si="2"/>
        <v>3478</v>
      </c>
      <c r="L51" s="81"/>
    </row>
    <row r="52" spans="1:13" ht="30" customHeight="1" x14ac:dyDescent="0.25">
      <c r="A52" s="16" t="s">
        <v>66</v>
      </c>
      <c r="B52" s="16" t="str">
        <f>VLOOKUP(A52,MEMORIA!A:P,2,FALSE)</f>
        <v>11956/orse</v>
      </c>
      <c r="C52" s="77" t="str">
        <f>VLOOKUP(A52,MEMORIA!A:P,3,FALSE)</f>
        <v>PORTA EM CHAPA LISA DE ALUMÍNIO, COR N/P/B, COMUM, DE ABRIR OU CORRER</v>
      </c>
      <c r="D52" s="77"/>
      <c r="E52" s="77"/>
      <c r="F52" s="77"/>
      <c r="G52" s="16" t="str">
        <f>VLOOKUP(A52,MEMORIA!A:P,7,FALSE)</f>
        <v>M2</v>
      </c>
      <c r="H52" s="17">
        <f>VLOOKUP(A52,MEMORIA!A:P,16,FALSE)</f>
        <v>8.16</v>
      </c>
      <c r="I52" s="78">
        <f>VLOOKUP("TOTAL - "&amp;B52,COMPOSICAO!A:K,10,FALSE)</f>
        <v>346.07000000000005</v>
      </c>
      <c r="J52" s="79"/>
      <c r="K52" s="80">
        <f t="shared" si="2"/>
        <v>2823.93</v>
      </c>
      <c r="L52" s="81"/>
    </row>
    <row r="53" spans="1:13" ht="15" customHeight="1" x14ac:dyDescent="0.25">
      <c r="A53" s="16" t="s">
        <v>67</v>
      </c>
      <c r="B53" s="16" t="str">
        <f>VLOOKUP(A53,MEMORIA!A:P,2,FALSE)</f>
        <v>01870/orse</v>
      </c>
      <c r="C53" s="77" t="str">
        <f>VLOOKUP(A53,MEMORIA!A:P,3,FALSE)</f>
        <v>BASCULANTE DE FERRO</v>
      </c>
      <c r="D53" s="77"/>
      <c r="E53" s="77"/>
      <c r="F53" s="77"/>
      <c r="G53" s="16" t="str">
        <f>VLOOKUP(A53,MEMORIA!A:P,7,FALSE)</f>
        <v>M2</v>
      </c>
      <c r="H53" s="17">
        <f>VLOOKUP(A53,MEMORIA!A:P,16,FALSE)</f>
        <v>14</v>
      </c>
      <c r="I53" s="78">
        <f>VLOOKUP("TOTAL - "&amp;B53,COMPOSICAO!A:K,10,FALSE)</f>
        <v>456.39000000000004</v>
      </c>
      <c r="J53" s="79"/>
      <c r="K53" s="80">
        <f t="shared" si="2"/>
        <v>6389.46</v>
      </c>
      <c r="L53" s="81"/>
    </row>
    <row r="54" spans="1:13" ht="15" customHeight="1" x14ac:dyDescent="0.25">
      <c r="A54" s="16" t="s">
        <v>68</v>
      </c>
      <c r="B54" s="16">
        <f>VLOOKUP(A54,MEMORIA!A:P,2,FALSE)</f>
        <v>85001</v>
      </c>
      <c r="C54" s="77" t="str">
        <f>VLOOKUP(A54,MEMORIA!A:P,3,FALSE)</f>
        <v>VIDRO LISO FUME, ESPESSURA 4MM</v>
      </c>
      <c r="D54" s="77"/>
      <c r="E54" s="77"/>
      <c r="F54" s="77"/>
      <c r="G54" s="16" t="str">
        <f>VLOOKUP(A54,MEMORIA!A:P,7,FALSE)</f>
        <v>M2</v>
      </c>
      <c r="H54" s="17">
        <f>VLOOKUP(A54,MEMORIA!A:P,16,FALSE)</f>
        <v>14</v>
      </c>
      <c r="I54" s="78">
        <f>ROUND(250.9*(1+BDI/100),2)</f>
        <v>303.08999999999997</v>
      </c>
      <c r="J54" s="79"/>
      <c r="K54" s="80">
        <f t="shared" si="2"/>
        <v>4243.26</v>
      </c>
      <c r="L54" s="81"/>
      <c r="M54" s="19" t="s">
        <v>43</v>
      </c>
    </row>
    <row r="55" spans="1:13" ht="30" customHeight="1" x14ac:dyDescent="0.25">
      <c r="A55" s="16" t="s">
        <v>69</v>
      </c>
      <c r="B55" s="16" t="str">
        <f>VLOOKUP(A55,MEMORIA!A:P,2,FALSE)</f>
        <v>01850/orse</v>
      </c>
      <c r="C55" s="77" t="str">
        <f>VLOOKUP(A55,MEMORIA!A:P,3,FALSE)</f>
        <v>GRADE PROTEÇÃO C/ BARRA REDONDA FERRO 5/8"</v>
      </c>
      <c r="D55" s="77"/>
      <c r="E55" s="77"/>
      <c r="F55" s="77"/>
      <c r="G55" s="16" t="str">
        <f>VLOOKUP(A55,MEMORIA!A:P,7,FALSE)</f>
        <v>M2</v>
      </c>
      <c r="H55" s="17">
        <f>VLOOKUP(A55,MEMORIA!A:P,16,FALSE)</f>
        <v>14</v>
      </c>
      <c r="I55" s="78">
        <f>VLOOKUP("TOTAL - "&amp;B55,COMPOSICAO!A:K,10,FALSE)</f>
        <v>186.96999999999997</v>
      </c>
      <c r="J55" s="79"/>
      <c r="K55" s="80">
        <f t="shared" si="2"/>
        <v>2617.58</v>
      </c>
      <c r="L55" s="81"/>
    </row>
    <row r="56" spans="1:13" ht="30" customHeight="1" x14ac:dyDescent="0.25">
      <c r="A56" s="16" t="s">
        <v>70</v>
      </c>
      <c r="B56" s="16" t="str">
        <f>VLOOKUP(A56,MEMORIA!A:P,2,FALSE)</f>
        <v>09718/orse</v>
      </c>
      <c r="C56" s="77" t="str">
        <f>VLOOKUP(A56,MEMORIA!A:P,3,FALSE)</f>
        <v>ESPELHO DE CRISTAL 4MM COM MOLDURA DE ALUMÍNIO</v>
      </c>
      <c r="D56" s="77"/>
      <c r="E56" s="77"/>
      <c r="F56" s="77"/>
      <c r="G56" s="16" t="str">
        <f>VLOOKUP(A56,MEMORIA!A:P,7,FALSE)</f>
        <v>M2</v>
      </c>
      <c r="H56" s="17">
        <f>VLOOKUP(A56,MEMORIA!A:P,16,FALSE)</f>
        <v>3.46</v>
      </c>
      <c r="I56" s="78">
        <f>VLOOKUP("TOTAL - "&amp;B56,COMPOSICAO!A:K,10,FALSE)</f>
        <v>581.16000000000008</v>
      </c>
      <c r="J56" s="79"/>
      <c r="K56" s="80">
        <f t="shared" si="2"/>
        <v>2010.81</v>
      </c>
      <c r="L56" s="81"/>
    </row>
    <row r="57" spans="1:13" ht="15" customHeight="1" x14ac:dyDescent="0.25">
      <c r="A57" s="18"/>
      <c r="B57" s="18"/>
      <c r="C57" s="18"/>
      <c r="D57" s="18"/>
      <c r="E57" s="18"/>
      <c r="F57" s="18"/>
      <c r="G57" s="18"/>
      <c r="H57" s="18"/>
      <c r="I57" s="18"/>
      <c r="J57" s="18"/>
      <c r="K57" s="18"/>
      <c r="L57" s="18"/>
    </row>
    <row r="58" spans="1:13" ht="15" customHeight="1" x14ac:dyDescent="0.25">
      <c r="A58" s="15">
        <v>9</v>
      </c>
      <c r="B58" s="73" t="str">
        <f>VLOOKUP(A58,MEMORIA!A:P,2,FALSE)</f>
        <v>pintura</v>
      </c>
      <c r="C58" s="74"/>
      <c r="D58" s="74"/>
      <c r="E58" s="74"/>
      <c r="F58" s="74"/>
      <c r="G58" s="74"/>
      <c r="H58" s="74"/>
      <c r="I58" s="74"/>
      <c r="J58" s="75"/>
      <c r="K58" s="76">
        <f>SUM(K59:L62)</f>
        <v>6674.8499999999995</v>
      </c>
      <c r="L58" s="72"/>
    </row>
    <row r="59" spans="1:13" ht="45" customHeight="1" x14ac:dyDescent="0.25">
      <c r="A59" s="16" t="s">
        <v>71</v>
      </c>
      <c r="B59" s="16">
        <f>VLOOKUP(A59,MEMORIA!A:P,2,FALSE)</f>
        <v>88415</v>
      </c>
      <c r="C59" s="77" t="str">
        <f>VLOOKUP(A59,MEMORIA!A:P,3,FALSE)</f>
        <v>APLICAÇÃO MANUAL DE FUNDO SELADOR ACRÍLICO EM PAREDES EXTERNAS DE CASAS. AF_06/2014</v>
      </c>
      <c r="D59" s="77"/>
      <c r="E59" s="77"/>
      <c r="F59" s="77"/>
      <c r="G59" s="16" t="str">
        <f>VLOOKUP(A59,MEMORIA!A:P,7,FALSE)</f>
        <v>M2</v>
      </c>
      <c r="H59" s="17">
        <f>VLOOKUP(A59,MEMORIA!A:P,16,FALSE)</f>
        <v>372.12</v>
      </c>
      <c r="I59" s="78">
        <f>VLOOKUP("TOTAL - "&amp;B59,COMPOSICAO!A:K,10,FALSE)</f>
        <v>2.74</v>
      </c>
      <c r="J59" s="79"/>
      <c r="K59" s="80">
        <f>ROUND(H59*I59,2)</f>
        <v>1019.61</v>
      </c>
      <c r="L59" s="81"/>
    </row>
    <row r="60" spans="1:13" ht="45" customHeight="1" x14ac:dyDescent="0.25">
      <c r="A60" s="16" t="s">
        <v>72</v>
      </c>
      <c r="B60" s="16">
        <f>VLOOKUP(A60,MEMORIA!A:P,2,FALSE)</f>
        <v>88489</v>
      </c>
      <c r="C60" s="77" t="str">
        <f>VLOOKUP(A60,MEMORIA!A:P,3,FALSE)</f>
        <v>APLICAÇÃO MANUAL DE PINTURA COM TINTA LÁTEX ACRÍLICA EM PAREDES, DUAS DEMÃOS. AF_06/2014</v>
      </c>
      <c r="D60" s="77"/>
      <c r="E60" s="77"/>
      <c r="F60" s="77"/>
      <c r="G60" s="16" t="str">
        <f>VLOOKUP(A60,MEMORIA!A:P,7,FALSE)</f>
        <v>M2</v>
      </c>
      <c r="H60" s="17">
        <f>VLOOKUP(A60,MEMORIA!A:P,16,FALSE)</f>
        <v>372.12</v>
      </c>
      <c r="I60" s="78">
        <f>VLOOKUP("TOTAL - "&amp;B60,COMPOSICAO!A:K,10,FALSE)</f>
        <v>13.110000000000001</v>
      </c>
      <c r="J60" s="79"/>
      <c r="K60" s="80">
        <f>ROUND(H60*I60,2)</f>
        <v>4878.49</v>
      </c>
      <c r="L60" s="81"/>
    </row>
    <row r="61" spans="1:13" ht="45" customHeight="1" x14ac:dyDescent="0.25">
      <c r="A61" s="16" t="s">
        <v>73</v>
      </c>
      <c r="B61" s="16" t="str">
        <f>VLOOKUP(A61,MEMORIA!A:P,2,FALSE)</f>
        <v>02306/orse</v>
      </c>
      <c r="C61" s="77" t="str">
        <f>VLOOKUP(A61,MEMORIA!A:P,3,FALSE)</f>
        <v>PINTURA DE ACABAMENTO COM APLICAÇÃO DE 02 DEMÃOS DE ESMALTE  SINTÉTICO SOBRE SUPERFÍCIES METÁLICAS - R1</v>
      </c>
      <c r="D61" s="77"/>
      <c r="E61" s="77"/>
      <c r="F61" s="77"/>
      <c r="G61" s="16" t="str">
        <f>VLOOKUP(A61,MEMORIA!A:P,7,FALSE)</f>
        <v>M2</v>
      </c>
      <c r="H61" s="17">
        <f>VLOOKUP(A61,MEMORIA!A:P,16,FALSE)</f>
        <v>38.76</v>
      </c>
      <c r="I61" s="78">
        <f>VLOOKUP("TOTAL - "&amp;B61,COMPOSICAO!A:K,10,FALSE)</f>
        <v>20.04</v>
      </c>
      <c r="J61" s="79"/>
      <c r="K61" s="80">
        <f>ROUND(H61*I61,2)</f>
        <v>776.75</v>
      </c>
      <c r="L61" s="81"/>
    </row>
    <row r="62" spans="1:13" ht="15" customHeight="1" x14ac:dyDescent="0.25">
      <c r="A62" s="18"/>
      <c r="B62" s="18"/>
      <c r="C62" s="18"/>
      <c r="D62" s="18"/>
      <c r="E62" s="18"/>
      <c r="F62" s="18"/>
      <c r="G62" s="18"/>
      <c r="H62" s="18"/>
      <c r="I62" s="18"/>
      <c r="J62" s="18"/>
      <c r="K62" s="18"/>
      <c r="L62" s="18"/>
    </row>
    <row r="63" spans="1:13" ht="15" customHeight="1" x14ac:dyDescent="0.25">
      <c r="A63" s="15">
        <v>10</v>
      </c>
      <c r="B63" s="73" t="str">
        <f>VLOOKUP(A63,MEMORIA!A:P,2,FALSE)</f>
        <v>instalações hidraulicas</v>
      </c>
      <c r="C63" s="74"/>
      <c r="D63" s="74"/>
      <c r="E63" s="74"/>
      <c r="F63" s="74"/>
      <c r="G63" s="74"/>
      <c r="H63" s="74"/>
      <c r="I63" s="74"/>
      <c r="J63" s="75"/>
      <c r="K63" s="76">
        <f>SUM(K64:L67)</f>
        <v>4145.18</v>
      </c>
      <c r="L63" s="72"/>
    </row>
    <row r="64" spans="1:13" ht="75" customHeight="1" x14ac:dyDescent="0.25">
      <c r="A64" s="16" t="s">
        <v>74</v>
      </c>
      <c r="B64" s="16">
        <f>VLOOKUP(A64,MEMORIA!A:P,2,FALSE)</f>
        <v>89957</v>
      </c>
      <c r="C64" s="77" t="str">
        <f>VLOOKUP(A64,MEMORIA!A:P,3,FALSE)</f>
        <v>PONTO DE CONSUMO TERMINAL DE ÁGUA FRIA (SUBRAMAL) COM TUBULAÇÃO DE PVC, DN 25 MM, INSTALADO EM RAMAL DE ÁGUA, INCLUSOS RASGO E CHUMBAMENTO EM ALVENARIA. AF_12/2014</v>
      </c>
      <c r="D64" s="77"/>
      <c r="E64" s="77"/>
      <c r="F64" s="77"/>
      <c r="G64" s="16" t="str">
        <f>VLOOKUP(A64,MEMORIA!A:P,7,FALSE)</f>
        <v>UN</v>
      </c>
      <c r="H64" s="17">
        <f>VLOOKUP(A64,MEMORIA!A:P,16,FALSE)</f>
        <v>10</v>
      </c>
      <c r="I64" s="78">
        <f>VLOOKUP("TOTAL - "&amp;B64,COMPOSICAO!A:K,10,FALSE)</f>
        <v>133.01999999999998</v>
      </c>
      <c r="J64" s="79"/>
      <c r="K64" s="80">
        <f>ROUND(H64*I64,2)</f>
        <v>1330.2</v>
      </c>
      <c r="L64" s="81"/>
    </row>
    <row r="65" spans="1:12" ht="30" customHeight="1" x14ac:dyDescent="0.25">
      <c r="A65" s="16" t="s">
        <v>75</v>
      </c>
      <c r="B65" s="16" t="str">
        <f>VLOOKUP(A65,MEMORIA!A:P,2,FALSE)</f>
        <v>05047/orse</v>
      </c>
      <c r="C65" s="77" t="str">
        <f>VLOOKUP(A65,MEMORIA!A:P,3,FALSE)</f>
        <v>CAIXA D'AGUA DE POLIETILENO - INSTALADA, EXCETO BASE DE APOIO, CAP. 500 LITROS</v>
      </c>
      <c r="D65" s="77"/>
      <c r="E65" s="77"/>
      <c r="F65" s="77"/>
      <c r="G65" s="16" t="str">
        <f>VLOOKUP(A65,MEMORIA!A:P,7,FALSE)</f>
        <v>UN</v>
      </c>
      <c r="H65" s="17">
        <f>VLOOKUP(A65,MEMORIA!A:P,16,FALSE)</f>
        <v>2</v>
      </c>
      <c r="I65" s="78">
        <f>VLOOKUP("TOTAL - "&amp;B65,COMPOSICAO!A:K,10,FALSE)</f>
        <v>655.62999999999988</v>
      </c>
      <c r="J65" s="79"/>
      <c r="K65" s="80">
        <f>ROUND(H65*I65,2)</f>
        <v>1311.26</v>
      </c>
      <c r="L65" s="81"/>
    </row>
    <row r="66" spans="1:12" ht="105" customHeight="1" x14ac:dyDescent="0.25">
      <c r="A66" s="16" t="s">
        <v>76</v>
      </c>
      <c r="B66" s="16">
        <f>VLOOKUP(A66,MEMORIA!A:P,2,FALSE)</f>
        <v>91785</v>
      </c>
      <c r="C66" s="77" t="str">
        <f>VLOOKUP(A66,MEMORIA!A:P,3,FALSE)</f>
        <v>(COMPOSIÇÃO REPRESENTATIVA) DO SERVIÇO DE INSTALAÇÃO DE TUBOS DE PVC, SOLDÁVEL, ÁGUA FRIA, DN 25 MM (INSTALADO EM RAMAL, SUB-RAMAL, RAMAL DE DISTRIBUIÇÃO OU PRUMADA), INCLUSIVE CONEXÕES, CORTES E FIXAÇÕES, PARA PRÉDIOS. AF_10/2015</v>
      </c>
      <c r="D66" s="77"/>
      <c r="E66" s="77"/>
      <c r="F66" s="77"/>
      <c r="G66" s="16" t="str">
        <f>VLOOKUP(A66,MEMORIA!A:P,7,FALSE)</f>
        <v>M</v>
      </c>
      <c r="H66" s="17">
        <f>VLOOKUP(A66,MEMORIA!A:P,16,FALSE)</f>
        <v>36</v>
      </c>
      <c r="I66" s="78">
        <f>VLOOKUP("TOTAL - "&amp;B66,COMPOSICAO!A:K,10,FALSE)</f>
        <v>41.77</v>
      </c>
      <c r="J66" s="79"/>
      <c r="K66" s="80">
        <f>ROUND(H66*I66,2)</f>
        <v>1503.72</v>
      </c>
      <c r="L66" s="81"/>
    </row>
    <row r="67" spans="1:12" ht="15" customHeight="1" x14ac:dyDescent="0.25">
      <c r="A67" s="18"/>
      <c r="B67" s="18"/>
      <c r="C67" s="18"/>
      <c r="D67" s="18"/>
      <c r="E67" s="18"/>
      <c r="F67" s="18"/>
      <c r="G67" s="18"/>
      <c r="H67" s="18"/>
      <c r="I67" s="18"/>
      <c r="J67" s="18"/>
      <c r="K67" s="18"/>
      <c r="L67" s="18"/>
    </row>
    <row r="68" spans="1:12" ht="15" customHeight="1" x14ac:dyDescent="0.25">
      <c r="A68" s="15">
        <v>11</v>
      </c>
      <c r="B68" s="73" t="str">
        <f>VLOOKUP(A68,MEMORIA!A:P,2,FALSE)</f>
        <v>instalações sanitarias</v>
      </c>
      <c r="C68" s="74"/>
      <c r="D68" s="74"/>
      <c r="E68" s="74"/>
      <c r="F68" s="74"/>
      <c r="G68" s="74"/>
      <c r="H68" s="74"/>
      <c r="I68" s="74"/>
      <c r="J68" s="75"/>
      <c r="K68" s="76">
        <f>SUM(K69:L75)</f>
        <v>7516.6</v>
      </c>
      <c r="L68" s="72"/>
    </row>
    <row r="69" spans="1:12" ht="45" customHeight="1" x14ac:dyDescent="0.25">
      <c r="A69" s="16" t="s">
        <v>77</v>
      </c>
      <c r="B69" s="16" t="str">
        <f>VLOOKUP(A69,MEMORIA!A:P,2,FALSE)</f>
        <v>01679/orse</v>
      </c>
      <c r="C69" s="77" t="str">
        <f>VLOOKUP(A69,MEMORIA!A:P,3,FALSE)</f>
        <v>PONTO DE ESGOTO COM TUBO DE PVC RÍGIDO SOLDÁVEL DE  Ø 40 MM (LAVATÓRIOS, MICTÓRIOS, RALOS SIFONADOS, ETC...)</v>
      </c>
      <c r="D69" s="77"/>
      <c r="E69" s="77"/>
      <c r="F69" s="77"/>
      <c r="G69" s="16" t="str">
        <f>VLOOKUP(A69,MEMORIA!A:P,7,FALSE)</f>
        <v>UN</v>
      </c>
      <c r="H69" s="17">
        <f>VLOOKUP(A69,MEMORIA!A:P,16,FALSE)</f>
        <v>4</v>
      </c>
      <c r="I69" s="78">
        <f>VLOOKUP("TOTAL - "&amp;B69,COMPOSICAO!A:K,10,FALSE)</f>
        <v>83.76</v>
      </c>
      <c r="J69" s="79"/>
      <c r="K69" s="80">
        <f t="shared" ref="K69:K74" si="3">ROUND(H69*I69,2)</f>
        <v>335.04</v>
      </c>
      <c r="L69" s="81"/>
    </row>
    <row r="70" spans="1:12" ht="30" customHeight="1" x14ac:dyDescent="0.25">
      <c r="A70" s="16" t="s">
        <v>78</v>
      </c>
      <c r="B70" s="16" t="str">
        <f>VLOOKUP(A70,MEMORIA!A:P,2,FALSE)</f>
        <v>01683/orse</v>
      </c>
      <c r="C70" s="77" t="str">
        <f>VLOOKUP(A70,MEMORIA!A:P,3,FALSE)</f>
        <v>PONTO DE ESGOTO COM TUBO DE PVC RÍGIDO SOLDÁVEL DE Ø 100 MM (VASO SANITÁRIO)</v>
      </c>
      <c r="D70" s="77"/>
      <c r="E70" s="77"/>
      <c r="F70" s="77"/>
      <c r="G70" s="16" t="str">
        <f>VLOOKUP(A70,MEMORIA!A:P,7,FALSE)</f>
        <v>PT</v>
      </c>
      <c r="H70" s="17">
        <f>VLOOKUP(A70,MEMORIA!A:P,16,FALSE)</f>
        <v>6</v>
      </c>
      <c r="I70" s="78">
        <f>VLOOKUP("TOTAL - "&amp;B70,COMPOSICAO!A:K,10,FALSE)</f>
        <v>126.09</v>
      </c>
      <c r="J70" s="79"/>
      <c r="K70" s="80">
        <f t="shared" si="3"/>
        <v>756.54</v>
      </c>
      <c r="L70" s="81"/>
    </row>
    <row r="71" spans="1:12" ht="45" customHeight="1" x14ac:dyDescent="0.25">
      <c r="A71" s="16" t="s">
        <v>79</v>
      </c>
      <c r="B71" s="16" t="str">
        <f>VLOOKUP(A71,MEMORIA!A:P,2,FALSE)</f>
        <v>01702/orse</v>
      </c>
      <c r="C71" s="77" t="str">
        <f>VLOOKUP(A71,MEMORIA!A:P,3,FALSE)</f>
        <v>RALO SIFONADO EM PVC D = 100 MM ALTURA REGULÁVEL, SAÍDA 40 MM, COM GRELHA REDONDA ACABAMENTO CROMADO</v>
      </c>
      <c r="D71" s="77"/>
      <c r="E71" s="77"/>
      <c r="F71" s="77"/>
      <c r="G71" s="16" t="str">
        <f>VLOOKUP(A71,MEMORIA!A:P,7,FALSE)</f>
        <v>UN</v>
      </c>
      <c r="H71" s="17">
        <f>VLOOKUP(A71,MEMORIA!A:P,16,FALSE)</f>
        <v>6</v>
      </c>
      <c r="I71" s="78">
        <f>VLOOKUP("TOTAL - "&amp;B71,COMPOSICAO!A:K,10,FALSE)</f>
        <v>38.900000000000006</v>
      </c>
      <c r="J71" s="79"/>
      <c r="K71" s="80">
        <f t="shared" si="3"/>
        <v>233.4</v>
      </c>
      <c r="L71" s="81"/>
    </row>
    <row r="72" spans="1:12" ht="15" customHeight="1" x14ac:dyDescent="0.25">
      <c r="A72" s="16" t="s">
        <v>80</v>
      </c>
      <c r="B72" s="16" t="str">
        <f>VLOOKUP(A72,MEMORIA!A:P,2,FALSE)</f>
        <v>04883/orse</v>
      </c>
      <c r="C72" s="77" t="str">
        <f>VLOOKUP(A72,MEMORIA!A:P,3,FALSE)</f>
        <v>CAIXA DE INSPEÇÃO  0.60 X 0.60 X 0.60M</v>
      </c>
      <c r="D72" s="77"/>
      <c r="E72" s="77"/>
      <c r="F72" s="77"/>
      <c r="G72" s="16" t="str">
        <f>VLOOKUP(A72,MEMORIA!A:P,7,FALSE)</f>
        <v>UN</v>
      </c>
      <c r="H72" s="17">
        <f>VLOOKUP(A72,MEMORIA!A:P,16,FALSE)</f>
        <v>2</v>
      </c>
      <c r="I72" s="78">
        <f>VLOOKUP("TOTAL - "&amp;B72,COMPOSICAO!A:K,10,FALSE)</f>
        <v>609.65</v>
      </c>
      <c r="J72" s="79"/>
      <c r="K72" s="80">
        <f t="shared" si="3"/>
        <v>1219.3</v>
      </c>
      <c r="L72" s="81"/>
    </row>
    <row r="73" spans="1:12" ht="105" customHeight="1" x14ac:dyDescent="0.25">
      <c r="A73" s="16" t="s">
        <v>81</v>
      </c>
      <c r="B73" s="16">
        <f>VLOOKUP(A73,MEMORIA!A:P,2,FALSE)</f>
        <v>91795</v>
      </c>
      <c r="C73" s="77" t="str">
        <f>VLOOKUP(A73,MEMORIA!A:P,3,FALSE)</f>
        <v>(COMPOSIÇÃO REPRESENTATIVA) DO SERVIÇO DE INST. TUBO PVC, SÉRIE N, ESGOTO PREDIAL, 100 MM (INST. RAMAL DESCARGA, RAMAL DE ESG. SANIT., PRUMADA ESG. SANIT., VENTILAÇÃO OU SUB-COLETOR AÉREO), INCL. CONEXÕES E CORTES, FIXAÇÕES, P/ PRÉDIOS. AF_10/2015</v>
      </c>
      <c r="D73" s="77"/>
      <c r="E73" s="77"/>
      <c r="F73" s="77"/>
      <c r="G73" s="16" t="str">
        <f>VLOOKUP(A73,MEMORIA!A:P,7,FALSE)</f>
        <v>M</v>
      </c>
      <c r="H73" s="17">
        <f>VLOOKUP(A73,MEMORIA!A:P,16,FALSE)</f>
        <v>25</v>
      </c>
      <c r="I73" s="78">
        <f>VLOOKUP("TOTAL - "&amp;B73,COMPOSICAO!A:K,10,FALSE)</f>
        <v>70.83</v>
      </c>
      <c r="J73" s="79"/>
      <c r="K73" s="80">
        <f t="shared" si="3"/>
        <v>1770.75</v>
      </c>
      <c r="L73" s="81"/>
    </row>
    <row r="74" spans="1:12" ht="30" customHeight="1" x14ac:dyDescent="0.25">
      <c r="A74" s="16" t="s">
        <v>82</v>
      </c>
      <c r="B74" s="16" t="str">
        <f>VLOOKUP(A74,MEMORIA!A:P,2,FALSE)</f>
        <v>c4162</v>
      </c>
      <c r="C74" s="77" t="str">
        <f>VLOOKUP(A74,MEMORIA!A:P,3,FALSE)</f>
        <v>FOSSA SÉPTICA E SUMIDOURO EM ANÉIS D=1,20M</v>
      </c>
      <c r="D74" s="77"/>
      <c r="E74" s="77"/>
      <c r="F74" s="77"/>
      <c r="G74" s="16" t="str">
        <f>VLOOKUP(A74,MEMORIA!A:P,7,FALSE)</f>
        <v>UN</v>
      </c>
      <c r="H74" s="17">
        <f>VLOOKUP(A74,MEMORIA!A:P,16,FALSE)</f>
        <v>1</v>
      </c>
      <c r="I74" s="78">
        <f>VLOOKUP("TOTAL - "&amp;B74,COMPOSICAO!A:K,10,FALSE)</f>
        <v>3201.5700000000006</v>
      </c>
      <c r="J74" s="79"/>
      <c r="K74" s="80">
        <f t="shared" si="3"/>
        <v>3201.57</v>
      </c>
      <c r="L74" s="81"/>
    </row>
    <row r="75" spans="1:12" ht="15" customHeight="1" x14ac:dyDescent="0.25">
      <c r="A75" s="18"/>
      <c r="B75" s="18"/>
      <c r="C75" s="18"/>
      <c r="D75" s="18"/>
      <c r="E75" s="18"/>
      <c r="F75" s="18"/>
      <c r="G75" s="18"/>
      <c r="H75" s="18"/>
      <c r="I75" s="18"/>
      <c r="J75" s="18"/>
      <c r="K75" s="18"/>
      <c r="L75" s="18"/>
    </row>
    <row r="76" spans="1:12" ht="15" customHeight="1" x14ac:dyDescent="0.25">
      <c r="A76" s="15">
        <v>12</v>
      </c>
      <c r="B76" s="73" t="str">
        <f>VLOOKUP(A76,MEMORIA!A:P,2,FALSE)</f>
        <v>louças e metais</v>
      </c>
      <c r="C76" s="74"/>
      <c r="D76" s="74"/>
      <c r="E76" s="74"/>
      <c r="F76" s="74"/>
      <c r="G76" s="74"/>
      <c r="H76" s="74"/>
      <c r="I76" s="74"/>
      <c r="J76" s="75"/>
      <c r="K76" s="76">
        <f>SUM(K77:L80)</f>
        <v>5468.94</v>
      </c>
      <c r="L76" s="72"/>
    </row>
    <row r="77" spans="1:12" ht="45" customHeight="1" x14ac:dyDescent="0.25">
      <c r="A77" s="16" t="s">
        <v>83</v>
      </c>
      <c r="B77" s="16">
        <f>VLOOKUP(A77,MEMORIA!A:P,2,FALSE)</f>
        <v>86888</v>
      </c>
      <c r="C77" s="77" t="str">
        <f>VLOOKUP(A77,MEMORIA!A:P,3,FALSE)</f>
        <v>VASO SANITÁRIO SIFONADO COM CAIXA ACOPLADA LOUÇA BRANCA - FORNECIMENTO E INSTALAÇÃO. AF_01/2020</v>
      </c>
      <c r="D77" s="77"/>
      <c r="E77" s="77"/>
      <c r="F77" s="77"/>
      <c r="G77" s="16" t="str">
        <f>VLOOKUP(A77,MEMORIA!A:P,7,FALSE)</f>
        <v>UN</v>
      </c>
      <c r="H77" s="17">
        <f>VLOOKUP(A77,MEMORIA!A:P,16,FALSE)</f>
        <v>4</v>
      </c>
      <c r="I77" s="78">
        <f>VLOOKUP("TOTAL - "&amp;B77,COMPOSICAO!A:K,10,FALSE)</f>
        <v>521.77</v>
      </c>
      <c r="J77" s="79"/>
      <c r="K77" s="80">
        <f>ROUND(H77*I77,2)</f>
        <v>2087.08</v>
      </c>
      <c r="L77" s="81"/>
    </row>
    <row r="78" spans="1:12" ht="75" customHeight="1" x14ac:dyDescent="0.25">
      <c r="A78" s="16" t="s">
        <v>84</v>
      </c>
      <c r="B78" s="16" t="str">
        <f>VLOOKUP(A78,MEMORIA!A:P,2,FALSE)</f>
        <v>12292/orse</v>
      </c>
      <c r="C78" s="77" t="str">
        <f>VLOOKUP(A78,MEMORIA!A:P,3,FALSE)</f>
        <v>LAVATÓRIO COM BANCADA EM GRANITO CINZA ANDORINHA, E = 2CM, DIM 1,50X0,60, COM 02 CUBAS DE EMBUTIR DE LOUÇA, SIFÃO CROMADO, VÁLVULA CROMADA, TORNEIRA CROMADA, INCLUSIVE RODOPIA 10 CM, ASSENTADA</v>
      </c>
      <c r="D78" s="77"/>
      <c r="E78" s="77"/>
      <c r="F78" s="77"/>
      <c r="G78" s="16" t="str">
        <f>VLOOKUP(A78,MEMORIA!A:P,7,FALSE)</f>
        <v>UN</v>
      </c>
      <c r="H78" s="17">
        <f>VLOOKUP(A78,MEMORIA!A:P,16,FALSE)</f>
        <v>2</v>
      </c>
      <c r="I78" s="78">
        <f>VLOOKUP("TOTAL - "&amp;B78,COMPOSICAO!A:K,10,FALSE)</f>
        <v>1631.1000000000004</v>
      </c>
      <c r="J78" s="79"/>
      <c r="K78" s="80">
        <f>ROUND(H78*I78,2)</f>
        <v>3262.2</v>
      </c>
      <c r="L78" s="81"/>
    </row>
    <row r="79" spans="1:12" ht="45" customHeight="1" x14ac:dyDescent="0.25">
      <c r="A79" s="16" t="s">
        <v>85</v>
      </c>
      <c r="B79" s="16" t="str">
        <f>VLOOKUP(A79,MEMORIA!A:P,2,FALSE)</f>
        <v>02022/orse</v>
      </c>
      <c r="C79" s="77" t="str">
        <f>VLOOKUP(A79,MEMORIA!A:P,3,FALSE)</f>
        <v>CHUVEIRO SIMPLES DE PLÁSTICO (HERC REF 1980 OU SIMILAR), C/ REGISTRO DE PRESSÃO DE PVC</v>
      </c>
      <c r="D79" s="77"/>
      <c r="E79" s="77"/>
      <c r="F79" s="77"/>
      <c r="G79" s="16" t="str">
        <f>VLOOKUP(A79,MEMORIA!A:P,7,FALSE)</f>
        <v>UN</v>
      </c>
      <c r="H79" s="17">
        <f>VLOOKUP(A79,MEMORIA!A:P,16,FALSE)</f>
        <v>2</v>
      </c>
      <c r="I79" s="78">
        <f>VLOOKUP("TOTAL - "&amp;B79,COMPOSICAO!A:K,10,FALSE)</f>
        <v>59.83</v>
      </c>
      <c r="J79" s="79"/>
      <c r="K79" s="80">
        <f>ROUND(H79*I79,2)</f>
        <v>119.66</v>
      </c>
      <c r="L79" s="81"/>
    </row>
    <row r="80" spans="1:12" ht="15" customHeight="1" x14ac:dyDescent="0.25">
      <c r="A80" s="18"/>
      <c r="B80" s="18"/>
      <c r="C80" s="18"/>
      <c r="D80" s="18"/>
      <c r="E80" s="18"/>
      <c r="F80" s="18"/>
      <c r="G80" s="18"/>
      <c r="H80" s="18"/>
      <c r="I80" s="18"/>
      <c r="J80" s="18"/>
      <c r="K80" s="18"/>
      <c r="L80" s="18"/>
    </row>
    <row r="81" spans="1:12" ht="15" customHeight="1" x14ac:dyDescent="0.25">
      <c r="A81" s="15">
        <v>13</v>
      </c>
      <c r="B81" s="73" t="str">
        <f>VLOOKUP(A81,MEMORIA!A:P,2,FALSE)</f>
        <v>instalações eletricas</v>
      </c>
      <c r="C81" s="74"/>
      <c r="D81" s="74"/>
      <c r="E81" s="74"/>
      <c r="F81" s="74"/>
      <c r="G81" s="74"/>
      <c r="H81" s="74"/>
      <c r="I81" s="74"/>
      <c r="J81" s="75"/>
      <c r="K81" s="76">
        <f>SUM(K82:L96)</f>
        <v>8911.76</v>
      </c>
      <c r="L81" s="72"/>
    </row>
    <row r="82" spans="1:12" ht="60" customHeight="1" x14ac:dyDescent="0.25">
      <c r="A82" s="16" t="s">
        <v>86</v>
      </c>
      <c r="B82" s="16" t="str">
        <f>VLOOKUP(A82,MEMORIA!A:P,2,FALSE)</f>
        <v>12223/orse</v>
      </c>
      <c r="C82" s="77" t="str">
        <f>VLOOKUP(A82,MEMORIA!A:P,3,FALSE)</f>
        <v>QUADRO DE DISTRIBUIÇÃO DE EMBUTIR, EM CHAPA DE AÇO, PARA ATÉ 12 DISJUNTORES, COM BARRAMENTO, PADRÃO DIN, EXCLUSIVE DISJUNTORES</v>
      </c>
      <c r="D82" s="77"/>
      <c r="E82" s="77"/>
      <c r="F82" s="77"/>
      <c r="G82" s="16" t="str">
        <f>VLOOKUP(A82,MEMORIA!A:P,7,FALSE)</f>
        <v>UN</v>
      </c>
      <c r="H82" s="17">
        <f>VLOOKUP(A82,MEMORIA!A:P,16,FALSE)</f>
        <v>1</v>
      </c>
      <c r="I82" s="78">
        <f>VLOOKUP("TOTAL - "&amp;B82,COMPOSICAO!A:K,10,FALSE)</f>
        <v>741.28</v>
      </c>
      <c r="J82" s="79"/>
      <c r="K82" s="80">
        <f t="shared" ref="K82:K95" si="4">ROUND(H82*I82,2)</f>
        <v>741.28</v>
      </c>
      <c r="L82" s="81"/>
    </row>
    <row r="83" spans="1:12" ht="45" customHeight="1" x14ac:dyDescent="0.25">
      <c r="A83" s="16" t="s">
        <v>87</v>
      </c>
      <c r="B83" s="16">
        <f>VLOOKUP(A83,MEMORIA!A:P,2,FALSE)</f>
        <v>101890</v>
      </c>
      <c r="C83" s="77" t="str">
        <f>VLOOKUP(A83,MEMORIA!A:P,3,FALSE)</f>
        <v>DISJUNTOR MONOPOLAR TIPO NEMA, CORRENTE NOMINAL DE 10 ATÉ 30A - FORNECIMENTO E INSTALAÇÃO. AF_10/2020</v>
      </c>
      <c r="D83" s="77"/>
      <c r="E83" s="77"/>
      <c r="F83" s="77"/>
      <c r="G83" s="16" t="str">
        <f>VLOOKUP(A83,MEMORIA!A:P,7,FALSE)</f>
        <v>UN</v>
      </c>
      <c r="H83" s="17">
        <f>VLOOKUP(A83,MEMORIA!A:P,16,FALSE)</f>
        <v>1</v>
      </c>
      <c r="I83" s="78">
        <f>VLOOKUP("TOTAL - "&amp;B83,COMPOSICAO!A:K,10,FALSE)</f>
        <v>19.260000000000002</v>
      </c>
      <c r="J83" s="79"/>
      <c r="K83" s="80">
        <f t="shared" si="4"/>
        <v>19.260000000000002</v>
      </c>
      <c r="L83" s="81"/>
    </row>
    <row r="84" spans="1:12" ht="45" customHeight="1" x14ac:dyDescent="0.25">
      <c r="A84" s="16" t="s">
        <v>88</v>
      </c>
      <c r="B84" s="16">
        <f>VLOOKUP(A84,MEMORIA!A:P,2,FALSE)</f>
        <v>93654</v>
      </c>
      <c r="C84" s="77" t="str">
        <f>VLOOKUP(A84,MEMORIA!A:P,3,FALSE)</f>
        <v>DISJUNTOR MONOPOLAR TIPO DIN, CORRENTE NOMINAL DE 16A - FORNECIMENTO E INSTALAÇÃO. AF_10/2020</v>
      </c>
      <c r="D84" s="77"/>
      <c r="E84" s="77"/>
      <c r="F84" s="77"/>
      <c r="G84" s="16" t="str">
        <f>VLOOKUP(A84,MEMORIA!A:P,7,FALSE)</f>
        <v>UN</v>
      </c>
      <c r="H84" s="17">
        <f>VLOOKUP(A84,MEMORIA!A:P,16,FALSE)</f>
        <v>7</v>
      </c>
      <c r="I84" s="78">
        <f>VLOOKUP("TOTAL - "&amp;B84,COMPOSICAO!A:K,10,FALSE)</f>
        <v>14.7</v>
      </c>
      <c r="J84" s="79"/>
      <c r="K84" s="80">
        <f t="shared" si="4"/>
        <v>102.9</v>
      </c>
      <c r="L84" s="81"/>
    </row>
    <row r="85" spans="1:12" ht="45" customHeight="1" x14ac:dyDescent="0.25">
      <c r="A85" s="16" t="s">
        <v>89</v>
      </c>
      <c r="B85" s="16" t="str">
        <f>VLOOKUP(A85,MEMORIA!A:P,2,FALSE)</f>
        <v>07871/orse</v>
      </c>
      <c r="C85" s="77" t="str">
        <f>VLOOKUP(A85,MEMORIA!A:P,3,FALSE)</f>
        <v>DISJUNTOR MONOPOLAR DR 25 A  - DISPOSITIVO RESIDUAL DIFERENCIAL, TIPO AC, REF.5SU1 SIEMENS OU SIMILAR</v>
      </c>
      <c r="D85" s="77"/>
      <c r="E85" s="77"/>
      <c r="F85" s="77"/>
      <c r="G85" s="16" t="str">
        <f>VLOOKUP(A85,MEMORIA!A:P,7,FALSE)</f>
        <v>UN</v>
      </c>
      <c r="H85" s="17">
        <f>VLOOKUP(A85,MEMORIA!A:P,16,FALSE)</f>
        <v>1</v>
      </c>
      <c r="I85" s="78">
        <f>VLOOKUP("TOTAL - "&amp;B85,COMPOSICAO!A:K,10,FALSE)</f>
        <v>93.31</v>
      </c>
      <c r="J85" s="79"/>
      <c r="K85" s="80">
        <f t="shared" si="4"/>
        <v>93.31</v>
      </c>
      <c r="L85" s="81"/>
    </row>
    <row r="86" spans="1:12" ht="30" customHeight="1" x14ac:dyDescent="0.25">
      <c r="A86" s="16" t="s">
        <v>90</v>
      </c>
      <c r="B86" s="16" t="str">
        <f>VLOOKUP(A86,MEMORIA!A:P,2,FALSE)</f>
        <v>08894/orse</v>
      </c>
      <c r="C86" s="77" t="str">
        <f>VLOOKUP(A86,MEMORIA!A:P,3,FALSE)</f>
        <v>DISPOSITIVO DE PROTEÇÃO CONTRA SURTO DE TENSÃO DPS 40KA - 175V</v>
      </c>
      <c r="D86" s="77"/>
      <c r="E86" s="77"/>
      <c r="F86" s="77"/>
      <c r="G86" s="16" t="str">
        <f>VLOOKUP(A86,MEMORIA!A:P,7,FALSE)</f>
        <v>UN</v>
      </c>
      <c r="H86" s="17">
        <f>VLOOKUP(A86,MEMORIA!A:P,16,FALSE)</f>
        <v>1</v>
      </c>
      <c r="I86" s="78">
        <f>VLOOKUP("TOTAL - "&amp;B86,COMPOSICAO!A:K,10,FALSE)</f>
        <v>76.710000000000008</v>
      </c>
      <c r="J86" s="79"/>
      <c r="K86" s="80">
        <f t="shared" si="4"/>
        <v>76.709999999999994</v>
      </c>
      <c r="L86" s="81"/>
    </row>
    <row r="87" spans="1:12" ht="60" customHeight="1" x14ac:dyDescent="0.25">
      <c r="A87" s="16" t="s">
        <v>91</v>
      </c>
      <c r="B87" s="16">
        <f>VLOOKUP(A87,MEMORIA!A:P,2,FALSE)</f>
        <v>91931</v>
      </c>
      <c r="C87" s="77" t="str">
        <f>VLOOKUP(A87,MEMORIA!A:P,3,FALSE)</f>
        <v>CABO DE COBRE FLEXÍVEL ISOLADO, 6 MM², ANTI-CHAMA 0,6/1,0 KV, PARA CIRCUITOS TERMINAIS - FORNECIMENTO E INSTALAÇÃO. AF_12/2015</v>
      </c>
      <c r="D87" s="77"/>
      <c r="E87" s="77"/>
      <c r="F87" s="77"/>
      <c r="G87" s="16" t="str">
        <f>VLOOKUP(A87,MEMORIA!A:P,7,FALSE)</f>
        <v>M</v>
      </c>
      <c r="H87" s="17">
        <f>VLOOKUP(A87,MEMORIA!A:P,16,FALSE)</f>
        <v>50</v>
      </c>
      <c r="I87" s="78">
        <f>VLOOKUP("TOTAL - "&amp;B87,COMPOSICAO!A:K,10,FALSE)</f>
        <v>11.900000000000002</v>
      </c>
      <c r="J87" s="79"/>
      <c r="K87" s="80">
        <f t="shared" si="4"/>
        <v>595</v>
      </c>
      <c r="L87" s="81"/>
    </row>
    <row r="88" spans="1:12" ht="60" customHeight="1" x14ac:dyDescent="0.25">
      <c r="A88" s="16" t="s">
        <v>92</v>
      </c>
      <c r="B88" s="16">
        <f>VLOOKUP(A88,MEMORIA!A:P,2,FALSE)</f>
        <v>91928</v>
      </c>
      <c r="C88" s="77" t="str">
        <f>VLOOKUP(A88,MEMORIA!A:P,3,FALSE)</f>
        <v>CABO DE COBRE FLEXÍVEL ISOLADO, 4 MM², ANTI-CHAMA 450/750 V, PARA CIRCUITOS TERMINAIS - FORNECIMENTO E INSTALAÇÃO. AF_12/2015</v>
      </c>
      <c r="D88" s="77"/>
      <c r="E88" s="77"/>
      <c r="F88" s="77"/>
      <c r="G88" s="16" t="str">
        <f>VLOOKUP(A88,MEMORIA!A:P,7,FALSE)</f>
        <v>M</v>
      </c>
      <c r="H88" s="17">
        <f>VLOOKUP(A88,MEMORIA!A:P,16,FALSE)</f>
        <v>300</v>
      </c>
      <c r="I88" s="78">
        <f>VLOOKUP("TOTAL - "&amp;B88,COMPOSICAO!A:K,10,FALSE)</f>
        <v>7.6700000000000008</v>
      </c>
      <c r="J88" s="79"/>
      <c r="K88" s="80">
        <f t="shared" si="4"/>
        <v>2301</v>
      </c>
      <c r="L88" s="81"/>
    </row>
    <row r="89" spans="1:12" ht="60" customHeight="1" x14ac:dyDescent="0.25">
      <c r="A89" s="16" t="s">
        <v>93</v>
      </c>
      <c r="B89" s="16">
        <f>VLOOKUP(A89,MEMORIA!A:P,2,FALSE)</f>
        <v>91927</v>
      </c>
      <c r="C89" s="77" t="str">
        <f>VLOOKUP(A89,MEMORIA!A:P,3,FALSE)</f>
        <v>CABO DE COBRE FLEXÍVEL ISOLADO, 2,5 MM², ANTI-CHAMA 0,6/1,0 KV, PARA CIRCUITOS TERMINAIS - FORNECIMENTO E INSTALAÇÃO. AF_12/2015</v>
      </c>
      <c r="D89" s="77"/>
      <c r="E89" s="77"/>
      <c r="F89" s="77"/>
      <c r="G89" s="16" t="str">
        <f>VLOOKUP(A89,MEMORIA!A:P,7,FALSE)</f>
        <v>M</v>
      </c>
      <c r="H89" s="17">
        <f>VLOOKUP(A89,MEMORIA!A:P,16,FALSE)</f>
        <v>100</v>
      </c>
      <c r="I89" s="78">
        <f>VLOOKUP("TOTAL - "&amp;B89,COMPOSICAO!A:K,10,FALSE)</f>
        <v>6.2299999999999995</v>
      </c>
      <c r="J89" s="79"/>
      <c r="K89" s="80">
        <f t="shared" si="4"/>
        <v>623</v>
      </c>
      <c r="L89" s="81"/>
    </row>
    <row r="90" spans="1:12" ht="60" customHeight="1" x14ac:dyDescent="0.25">
      <c r="A90" s="16" t="s">
        <v>94</v>
      </c>
      <c r="B90" s="16">
        <f>VLOOKUP(A90,MEMORIA!A:P,2,FALSE)</f>
        <v>91834</v>
      </c>
      <c r="C90" s="77" t="str">
        <f>VLOOKUP(A90,MEMORIA!A:P,3,FALSE)</f>
        <v>ELETRODUTO FLEXÍVEL CORRUGADO, PVC, DN 25 MM (3/4"), PARA CIRCUITOS TERMINAIS, INSTALADO EM FORRO - FORNECIMENTO E INSTALAÇÃO. AF_12/2015</v>
      </c>
      <c r="D90" s="77"/>
      <c r="E90" s="77"/>
      <c r="F90" s="77"/>
      <c r="G90" s="16" t="str">
        <f>VLOOKUP(A90,MEMORIA!A:P,7,FALSE)</f>
        <v>M</v>
      </c>
      <c r="H90" s="17">
        <f>VLOOKUP(A90,MEMORIA!A:P,16,FALSE)</f>
        <v>100</v>
      </c>
      <c r="I90" s="78">
        <f>VLOOKUP("TOTAL - "&amp;B90,COMPOSICAO!A:K,10,FALSE)</f>
        <v>8.35</v>
      </c>
      <c r="J90" s="79"/>
      <c r="K90" s="80">
        <f t="shared" si="4"/>
        <v>835</v>
      </c>
      <c r="L90" s="81"/>
    </row>
    <row r="91" spans="1:12" ht="30" customHeight="1" x14ac:dyDescent="0.25">
      <c r="A91" s="16" t="s">
        <v>95</v>
      </c>
      <c r="B91" s="16" t="str">
        <f>VLOOKUP(A91,MEMORIA!A:P,2,FALSE)</f>
        <v>12562/orse</v>
      </c>
      <c r="C91" s="77" t="str">
        <f>VLOOKUP(A91,MEMORIA!A:P,3,FALSE)</f>
        <v>LUMINÁRIA COM LAMPADA LED TUBULAR BIVOLT 18/20 W, BASE G13 - REV 01</v>
      </c>
      <c r="D91" s="77"/>
      <c r="E91" s="77"/>
      <c r="F91" s="77"/>
      <c r="G91" s="16" t="str">
        <f>VLOOKUP(A91,MEMORIA!A:P,7,FALSE)</f>
        <v>UN</v>
      </c>
      <c r="H91" s="17">
        <f>VLOOKUP(A91,MEMORIA!A:P,16,FALSE)</f>
        <v>17</v>
      </c>
      <c r="I91" s="78">
        <f>VLOOKUP("TOTAL - "&amp;B91,COMPOSICAO!A:K,10,FALSE)</f>
        <v>87.679999999999993</v>
      </c>
      <c r="J91" s="79"/>
      <c r="K91" s="80">
        <f t="shared" si="4"/>
        <v>1490.56</v>
      </c>
      <c r="L91" s="81"/>
    </row>
    <row r="92" spans="1:12" ht="45" customHeight="1" x14ac:dyDescent="0.25">
      <c r="A92" s="16" t="s">
        <v>96</v>
      </c>
      <c r="B92" s="16">
        <f>VLOOKUP(A92,MEMORIA!A:P,2,FALSE)</f>
        <v>91953</v>
      </c>
      <c r="C92" s="77" t="str">
        <f>VLOOKUP(A92,MEMORIA!A:P,3,FALSE)</f>
        <v>INTERRUPTOR SIMPLES (1 MÓDULO), 10A/250V, INCLUINDO SUPORTE E PLACA - FORNECIMENTO E INSTALAÇÃO. AF_12/2015</v>
      </c>
      <c r="D92" s="77"/>
      <c r="E92" s="77"/>
      <c r="F92" s="77"/>
      <c r="G92" s="16" t="str">
        <f>VLOOKUP(A92,MEMORIA!A:P,7,FALSE)</f>
        <v>UN</v>
      </c>
      <c r="H92" s="17">
        <f>VLOOKUP(A92,MEMORIA!A:P,16,FALSE)</f>
        <v>2</v>
      </c>
      <c r="I92" s="78">
        <f>VLOOKUP("TOTAL - "&amp;B92,COMPOSICAO!A:K,10,FALSE)</f>
        <v>26</v>
      </c>
      <c r="J92" s="79"/>
      <c r="K92" s="80">
        <f t="shared" si="4"/>
        <v>52</v>
      </c>
      <c r="L92" s="81"/>
    </row>
    <row r="93" spans="1:12" ht="45" customHeight="1" x14ac:dyDescent="0.25">
      <c r="A93" s="16" t="s">
        <v>97</v>
      </c>
      <c r="B93" s="16">
        <f>VLOOKUP(A93,MEMORIA!A:P,2,FALSE)</f>
        <v>91969</v>
      </c>
      <c r="C93" s="77" t="str">
        <f>VLOOKUP(A93,MEMORIA!A:P,3,FALSE)</f>
        <v>INTERRUPTOR PARALELO (3 MÓDULOS), 10A/250V, INCLUINDO SUPORTE E PLACA - FORNECIMENTO E INSTALAÇÃO. AF_12/2015</v>
      </c>
      <c r="D93" s="77"/>
      <c r="E93" s="77"/>
      <c r="F93" s="77"/>
      <c r="G93" s="16" t="str">
        <f>VLOOKUP(A93,MEMORIA!A:P,7,FALSE)</f>
        <v>UN</v>
      </c>
      <c r="H93" s="17">
        <f>VLOOKUP(A93,MEMORIA!A:P,16,FALSE)</f>
        <v>1</v>
      </c>
      <c r="I93" s="78">
        <f>VLOOKUP("TOTAL - "&amp;B93,COMPOSICAO!A:K,10,FALSE)</f>
        <v>74.34</v>
      </c>
      <c r="J93" s="79"/>
      <c r="K93" s="80">
        <f t="shared" si="4"/>
        <v>74.34</v>
      </c>
      <c r="L93" s="81"/>
    </row>
    <row r="94" spans="1:12" ht="45" customHeight="1" x14ac:dyDescent="0.25">
      <c r="A94" s="16" t="s">
        <v>98</v>
      </c>
      <c r="B94" s="16">
        <f>VLOOKUP(A94,MEMORIA!A:P,2,FALSE)</f>
        <v>92008</v>
      </c>
      <c r="C94" s="77" t="str">
        <f>VLOOKUP(A94,MEMORIA!A:P,3,FALSE)</f>
        <v>TOMADA BAIXA DE EMBUTIR (2 MÓDULOS), 2P+T 10 A, INCLUINDO SUPORTE E PLACA - FORNECIMENTO E INSTALAÇÃO. AF_12/2015</v>
      </c>
      <c r="D94" s="77"/>
      <c r="E94" s="77"/>
      <c r="F94" s="77"/>
      <c r="G94" s="16" t="str">
        <f>VLOOKUP(A94,MEMORIA!A:P,7,FALSE)</f>
        <v>UN</v>
      </c>
      <c r="H94" s="17">
        <f>VLOOKUP(A94,MEMORIA!A:P,16,FALSE)</f>
        <v>11</v>
      </c>
      <c r="I94" s="78">
        <f>VLOOKUP("TOTAL - "&amp;B94,COMPOSICAO!A:K,10,FALSE)</f>
        <v>44.25</v>
      </c>
      <c r="J94" s="79"/>
      <c r="K94" s="80">
        <f t="shared" si="4"/>
        <v>486.75</v>
      </c>
      <c r="L94" s="81"/>
    </row>
    <row r="95" spans="1:12" ht="75" customHeight="1" x14ac:dyDescent="0.25">
      <c r="A95" s="16" t="s">
        <v>99</v>
      </c>
      <c r="B95" s="16" t="str">
        <f>VLOOKUP(A95,MEMORIA!A:P,2,FALSE)</f>
        <v>03397/orse</v>
      </c>
      <c r="C95" s="77" t="str">
        <f>VLOOKUP(A95,MEMORIA!A:P,3,FALSE)</f>
        <v>PONTO DE TOMADA 3P PARA AR CONDICIONADO ATÉ 3000 VA, COM ELETRODUTO DE PVC FLEXÍVEL SANFONADO EMBUTIDO  Ø 3/4", INCLUINDO CONJUNTO ASTOP/30A-220V, INCLUSIVE ATERRAMENTO</v>
      </c>
      <c r="D95" s="77"/>
      <c r="E95" s="77"/>
      <c r="F95" s="77"/>
      <c r="G95" s="16" t="str">
        <f>VLOOKUP(A95,MEMORIA!A:P,7,FALSE)</f>
        <v>PT</v>
      </c>
      <c r="H95" s="17">
        <f>VLOOKUP(A95,MEMORIA!A:P,16,FALSE)</f>
        <v>5</v>
      </c>
      <c r="I95" s="78">
        <f>VLOOKUP("TOTAL - "&amp;B95,COMPOSICAO!A:K,10,FALSE)</f>
        <v>284.13</v>
      </c>
      <c r="J95" s="79"/>
      <c r="K95" s="80">
        <f t="shared" si="4"/>
        <v>1420.65</v>
      </c>
      <c r="L95" s="81"/>
    </row>
    <row r="96" spans="1:12" ht="15" customHeight="1" x14ac:dyDescent="0.25">
      <c r="A96" s="18"/>
      <c r="B96" s="18"/>
      <c r="C96" s="18"/>
      <c r="D96" s="18"/>
      <c r="E96" s="18"/>
      <c r="F96" s="18"/>
      <c r="G96" s="18"/>
      <c r="H96" s="18"/>
      <c r="I96" s="18"/>
      <c r="J96" s="18"/>
      <c r="K96" s="18"/>
      <c r="L96" s="18"/>
    </row>
    <row r="97" spans="1:12" ht="15" customHeight="1" x14ac:dyDescent="0.25">
      <c r="A97" s="15">
        <v>14</v>
      </c>
      <c r="B97" s="73" t="str">
        <f>VLOOKUP(A97,MEMORIA!A:P,2,FALSE)</f>
        <v>adaptação predio existente</v>
      </c>
      <c r="C97" s="74"/>
      <c r="D97" s="74"/>
      <c r="E97" s="74"/>
      <c r="F97" s="74"/>
      <c r="G97" s="74"/>
      <c r="H97" s="74"/>
      <c r="I97" s="74"/>
      <c r="J97" s="75"/>
      <c r="K97" s="76">
        <f>SUM(K98:L100)</f>
        <v>357.83000000000004</v>
      </c>
      <c r="L97" s="72"/>
    </row>
    <row r="98" spans="1:12" ht="45" customHeight="1" x14ac:dyDescent="0.25">
      <c r="A98" s="16" t="s">
        <v>100</v>
      </c>
      <c r="B98" s="16">
        <f>VLOOKUP(A98,MEMORIA!A:P,2,FALSE)</f>
        <v>97622</v>
      </c>
      <c r="C98" s="77" t="str">
        <f>VLOOKUP(A98,MEMORIA!A:P,3,FALSE)</f>
        <v>DEMOLIÇÃO DE ALVENARIA DE BLOCO FURADO, DE FORMA MANUAL, SEM REAPROVEITAMENTO. AF_12/2017</v>
      </c>
      <c r="D98" s="77"/>
      <c r="E98" s="77"/>
      <c r="F98" s="77"/>
      <c r="G98" s="16" t="str">
        <f>VLOOKUP(A98,MEMORIA!A:P,7,FALSE)</f>
        <v>M3</v>
      </c>
      <c r="H98" s="17">
        <f>VLOOKUP(A98,MEMORIA!A:P,16,FALSE)</f>
        <v>3.62</v>
      </c>
      <c r="I98" s="78">
        <f>VLOOKUP("TOTAL - "&amp;B98,COMPOSICAO!A:K,10,FALSE)</f>
        <v>48.49</v>
      </c>
      <c r="J98" s="79"/>
      <c r="K98" s="80">
        <f>ROUND(H98*I98,2)</f>
        <v>175.53</v>
      </c>
      <c r="L98" s="81"/>
    </row>
    <row r="99" spans="1:12" ht="105" customHeight="1" x14ac:dyDescent="0.25">
      <c r="A99" s="16" t="s">
        <v>101</v>
      </c>
      <c r="B99" s="16">
        <f>VLOOKUP(A99,MEMORIA!A:P,2,FALSE)</f>
        <v>89048</v>
      </c>
      <c r="C99" s="77" t="str">
        <f>VLOOKUP(A99,MEMORIA!A:P,3,FALSE)</f>
        <v>(COMPOSIÇÃO REPRESENTATIVA) DO SERVIÇO DE EMBOÇO/MASSA ÚNICA, TRAÇO 1:2:8, PREPARO MECÂNICO, COM BETONEIRA DE 400L, EM PAREDES DE AMBIENTES INTERNOS, COM EXECUÇÃO DE TALISCAS, PARA EDIFICAÇÃO HABITACIONAL MULTIFAMILIAR (PRÉDIO). AF_11/2014</v>
      </c>
      <c r="D99" s="77"/>
      <c r="E99" s="77"/>
      <c r="F99" s="77"/>
      <c r="G99" s="16" t="str">
        <f>VLOOKUP(A99,MEMORIA!A:P,7,FALSE)</f>
        <v>M2</v>
      </c>
      <c r="H99" s="17">
        <f>VLOOKUP(A99,MEMORIA!A:P,16,FALSE)</f>
        <v>5</v>
      </c>
      <c r="I99" s="78">
        <f>VLOOKUP("TOTAL - "&amp;B99,COMPOSICAO!A:K,10,FALSE)</f>
        <v>36.46</v>
      </c>
      <c r="J99" s="79"/>
      <c r="K99" s="80">
        <f>ROUND(H99*I99,2)</f>
        <v>182.3</v>
      </c>
      <c r="L99" s="81"/>
    </row>
    <row r="100" spans="1:12" ht="15" customHeight="1" x14ac:dyDescent="0.25">
      <c r="A100" s="18"/>
      <c r="B100" s="18"/>
      <c r="C100" s="18"/>
      <c r="D100" s="18"/>
      <c r="E100" s="18"/>
      <c r="F100" s="18"/>
      <c r="G100" s="18"/>
      <c r="H100" s="18"/>
      <c r="I100" s="18"/>
      <c r="J100" s="18"/>
      <c r="K100" s="18"/>
      <c r="L100" s="18"/>
    </row>
    <row r="101" spans="1:12" ht="15" customHeight="1" x14ac:dyDescent="0.25">
      <c r="A101" s="15">
        <v>15</v>
      </c>
      <c r="B101" s="73" t="str">
        <f>VLOOKUP(A101,MEMORIA!A:P,2,FALSE)</f>
        <v>serviços finais</v>
      </c>
      <c r="C101" s="74"/>
      <c r="D101" s="74"/>
      <c r="E101" s="74"/>
      <c r="F101" s="74"/>
      <c r="G101" s="74"/>
      <c r="H101" s="74"/>
      <c r="I101" s="74"/>
      <c r="J101" s="75"/>
      <c r="K101" s="76">
        <f>SUM(K102:L104)</f>
        <v>2284.4</v>
      </c>
      <c r="L101" s="72"/>
    </row>
    <row r="102" spans="1:12" ht="45" customHeight="1" x14ac:dyDescent="0.25">
      <c r="A102" s="16" t="s">
        <v>102</v>
      </c>
      <c r="B102" s="16" t="str">
        <f>VLOOKUP(A102,MEMORIA!A:P,2,FALSE)</f>
        <v>10033/orse</v>
      </c>
      <c r="C102" s="77" t="str">
        <f>VLOOKUP(A102,MEMORIA!A:P,3,FALSE)</f>
        <v>RETIRADA DE ENTULHO DA OBRA UTILIZANDO CAIXA COLETORA CAPACIDADE 5 M3 (LOCAL: ARACAJU)</v>
      </c>
      <c r="D102" s="77"/>
      <c r="E102" s="77"/>
      <c r="F102" s="77"/>
      <c r="G102" s="16" t="str">
        <f>VLOOKUP(A102,MEMORIA!A:P,7,FALSE)</f>
        <v>M3</v>
      </c>
      <c r="H102" s="17">
        <f>VLOOKUP(A102,MEMORIA!A:P,16,FALSE)</f>
        <v>30</v>
      </c>
      <c r="I102" s="78">
        <f>VLOOKUP("TOTAL - "&amp;B102,COMPOSICAO!A:K,10,FALSE)</f>
        <v>60.4</v>
      </c>
      <c r="J102" s="79"/>
      <c r="K102" s="80">
        <f>ROUND(H102*I102,2)</f>
        <v>1812</v>
      </c>
      <c r="L102" s="81"/>
    </row>
    <row r="103" spans="1:12" ht="15" customHeight="1" x14ac:dyDescent="0.25">
      <c r="A103" s="16" t="s">
        <v>103</v>
      </c>
      <c r="B103" s="16" t="str">
        <f>VLOOKUP(A103,MEMORIA!A:P,2,FALSE)</f>
        <v>02450/orse</v>
      </c>
      <c r="C103" s="77" t="str">
        <f>VLOOKUP(A103,MEMORIA!A:P,3,FALSE)</f>
        <v>LIMPEZA GERAL</v>
      </c>
      <c r="D103" s="77"/>
      <c r="E103" s="77"/>
      <c r="F103" s="77"/>
      <c r="G103" s="16" t="str">
        <f>VLOOKUP(A103,MEMORIA!A:P,7,FALSE)</f>
        <v>M2</v>
      </c>
      <c r="H103" s="17">
        <f>VLOOKUP(A103,MEMORIA!A:P,16,FALSE)</f>
        <v>204.5</v>
      </c>
      <c r="I103" s="78">
        <f>VLOOKUP("TOTAL - "&amp;B103,COMPOSICAO!A:K,10,FALSE)</f>
        <v>2.31</v>
      </c>
      <c r="J103" s="79"/>
      <c r="K103" s="80">
        <f>ROUND(H103*I103,2)</f>
        <v>472.4</v>
      </c>
      <c r="L103" s="81"/>
    </row>
    <row r="104" spans="1:12" ht="15" customHeight="1" x14ac:dyDescent="0.25">
      <c r="A104" s="3"/>
      <c r="B104" s="3"/>
      <c r="C104" s="3"/>
      <c r="D104" s="3"/>
      <c r="E104" s="3"/>
      <c r="F104" s="3"/>
      <c r="G104" s="3"/>
      <c r="H104" s="3"/>
      <c r="I104" s="3"/>
      <c r="J104" s="3"/>
      <c r="K104" s="3"/>
      <c r="L104" s="3"/>
    </row>
    <row r="105" spans="1:12" ht="15" customHeight="1" x14ac:dyDescent="0.25">
      <c r="A105" s="56" t="s">
        <v>21</v>
      </c>
      <c r="B105" s="57"/>
      <c r="C105" s="57"/>
      <c r="D105" s="57"/>
      <c r="E105" s="57"/>
      <c r="F105" s="57"/>
      <c r="G105" s="57"/>
      <c r="H105" s="57"/>
      <c r="I105" s="57"/>
      <c r="J105" s="58"/>
      <c r="K105" s="71">
        <f>SUM(K7,K10,K21,K27,K31,K36,K46,K49,K58,K63,K68,K76,K81,K97,K101,)</f>
        <v>253527.19000000003</v>
      </c>
      <c r="L105" s="72"/>
    </row>
  </sheetData>
  <sheetProtection formatCells="0" formatColumns="0" formatRows="0" insertColumns="0" insertRows="0" insertHyperlinks="0" deleteColumns="0" deleteRows="0" sort="0" autoFilter="0" pivotTables="0"/>
  <mergeCells count="242">
    <mergeCell ref="A1:L1"/>
    <mergeCell ref="A2:L2"/>
    <mergeCell ref="A3:L3"/>
    <mergeCell ref="C6:F6"/>
    <mergeCell ref="I6:J6"/>
    <mergeCell ref="K6:L6"/>
    <mergeCell ref="C11:F11"/>
    <mergeCell ref="I11:J11"/>
    <mergeCell ref="K11:L11"/>
    <mergeCell ref="C12:F12"/>
    <mergeCell ref="I12:J12"/>
    <mergeCell ref="K12:L12"/>
    <mergeCell ref="B7:J7"/>
    <mergeCell ref="K7:L7"/>
    <mergeCell ref="C8:F8"/>
    <mergeCell ref="I8:J8"/>
    <mergeCell ref="K8:L8"/>
    <mergeCell ref="B10:J10"/>
    <mergeCell ref="K10:L10"/>
    <mergeCell ref="C15:F15"/>
    <mergeCell ref="I15:J15"/>
    <mergeCell ref="K15:L15"/>
    <mergeCell ref="C16:F16"/>
    <mergeCell ref="I16:J16"/>
    <mergeCell ref="K16:L16"/>
    <mergeCell ref="C13:F13"/>
    <mergeCell ref="I13:J13"/>
    <mergeCell ref="K13:L13"/>
    <mergeCell ref="C14:F14"/>
    <mergeCell ref="I14:J14"/>
    <mergeCell ref="K14:L14"/>
    <mergeCell ref="C19:F19"/>
    <mergeCell ref="I19:J19"/>
    <mergeCell ref="K19:L19"/>
    <mergeCell ref="B21:J21"/>
    <mergeCell ref="K21:L21"/>
    <mergeCell ref="C22:F22"/>
    <mergeCell ref="I22:J22"/>
    <mergeCell ref="K22:L22"/>
    <mergeCell ref="C17:F17"/>
    <mergeCell ref="I17:J17"/>
    <mergeCell ref="K17:L17"/>
    <mergeCell ref="C18:F18"/>
    <mergeCell ref="I18:J18"/>
    <mergeCell ref="K18:L18"/>
    <mergeCell ref="C25:F25"/>
    <mergeCell ref="I25:J25"/>
    <mergeCell ref="K25:L25"/>
    <mergeCell ref="B27:J27"/>
    <mergeCell ref="K27:L27"/>
    <mergeCell ref="C28:F28"/>
    <mergeCell ref="I28:J28"/>
    <mergeCell ref="K28:L28"/>
    <mergeCell ref="C23:F23"/>
    <mergeCell ref="I23:J23"/>
    <mergeCell ref="K23:L23"/>
    <mergeCell ref="C24:F24"/>
    <mergeCell ref="I24:J24"/>
    <mergeCell ref="K24:L24"/>
    <mergeCell ref="C33:F33"/>
    <mergeCell ref="I33:J33"/>
    <mergeCell ref="K33:L33"/>
    <mergeCell ref="C34:F34"/>
    <mergeCell ref="I34:J34"/>
    <mergeCell ref="K34:L34"/>
    <mergeCell ref="C29:F29"/>
    <mergeCell ref="I29:J29"/>
    <mergeCell ref="K29:L29"/>
    <mergeCell ref="B31:J31"/>
    <mergeCell ref="K31:L31"/>
    <mergeCell ref="C32:F32"/>
    <mergeCell ref="I32:J32"/>
    <mergeCell ref="K32:L32"/>
    <mergeCell ref="C39:F39"/>
    <mergeCell ref="I39:J39"/>
    <mergeCell ref="K39:L39"/>
    <mergeCell ref="C40:F40"/>
    <mergeCell ref="I40:J40"/>
    <mergeCell ref="K40:L40"/>
    <mergeCell ref="B36:J36"/>
    <mergeCell ref="K36:L36"/>
    <mergeCell ref="C37:F37"/>
    <mergeCell ref="I37:J37"/>
    <mergeCell ref="K37:L37"/>
    <mergeCell ref="C38:F38"/>
    <mergeCell ref="I38:J38"/>
    <mergeCell ref="K38:L38"/>
    <mergeCell ref="C43:F43"/>
    <mergeCell ref="I43:J43"/>
    <mergeCell ref="K43:L43"/>
    <mergeCell ref="C44:F44"/>
    <mergeCell ref="I44:J44"/>
    <mergeCell ref="K44:L44"/>
    <mergeCell ref="C41:F41"/>
    <mergeCell ref="I41:J41"/>
    <mergeCell ref="K41:L41"/>
    <mergeCell ref="C42:F42"/>
    <mergeCell ref="I42:J42"/>
    <mergeCell ref="K42:L42"/>
    <mergeCell ref="C50:F50"/>
    <mergeCell ref="I50:J50"/>
    <mergeCell ref="K50:L50"/>
    <mergeCell ref="C51:F51"/>
    <mergeCell ref="I51:J51"/>
    <mergeCell ref="K51:L51"/>
    <mergeCell ref="B46:J46"/>
    <mergeCell ref="K46:L46"/>
    <mergeCell ref="C47:F47"/>
    <mergeCell ref="I47:J47"/>
    <mergeCell ref="K47:L47"/>
    <mergeCell ref="B49:J49"/>
    <mergeCell ref="K49:L49"/>
    <mergeCell ref="C54:F54"/>
    <mergeCell ref="I54:J54"/>
    <mergeCell ref="K54:L54"/>
    <mergeCell ref="C55:F55"/>
    <mergeCell ref="I55:J55"/>
    <mergeCell ref="K55:L55"/>
    <mergeCell ref="C52:F52"/>
    <mergeCell ref="I52:J52"/>
    <mergeCell ref="K52:L52"/>
    <mergeCell ref="C53:F53"/>
    <mergeCell ref="I53:J53"/>
    <mergeCell ref="K53:L53"/>
    <mergeCell ref="C60:F60"/>
    <mergeCell ref="I60:J60"/>
    <mergeCell ref="K60:L60"/>
    <mergeCell ref="C61:F61"/>
    <mergeCell ref="I61:J61"/>
    <mergeCell ref="K61:L61"/>
    <mergeCell ref="C56:F56"/>
    <mergeCell ref="I56:J56"/>
    <mergeCell ref="K56:L56"/>
    <mergeCell ref="B58:J58"/>
    <mergeCell ref="K58:L58"/>
    <mergeCell ref="C59:F59"/>
    <mergeCell ref="I59:J59"/>
    <mergeCell ref="K59:L59"/>
    <mergeCell ref="C66:F66"/>
    <mergeCell ref="I66:J66"/>
    <mergeCell ref="K66:L66"/>
    <mergeCell ref="B68:J68"/>
    <mergeCell ref="K68:L68"/>
    <mergeCell ref="C69:F69"/>
    <mergeCell ref="I69:J69"/>
    <mergeCell ref="K69:L69"/>
    <mergeCell ref="B63:J63"/>
    <mergeCell ref="K63:L63"/>
    <mergeCell ref="C64:F64"/>
    <mergeCell ref="I64:J64"/>
    <mergeCell ref="K64:L64"/>
    <mergeCell ref="C65:F65"/>
    <mergeCell ref="I65:J65"/>
    <mergeCell ref="K65:L65"/>
    <mergeCell ref="C72:F72"/>
    <mergeCell ref="I72:J72"/>
    <mergeCell ref="K72:L72"/>
    <mergeCell ref="C73:F73"/>
    <mergeCell ref="I73:J73"/>
    <mergeCell ref="K73:L73"/>
    <mergeCell ref="C70:F70"/>
    <mergeCell ref="I70:J70"/>
    <mergeCell ref="K70:L70"/>
    <mergeCell ref="C71:F71"/>
    <mergeCell ref="I71:J71"/>
    <mergeCell ref="K71:L71"/>
    <mergeCell ref="C78:F78"/>
    <mergeCell ref="I78:J78"/>
    <mergeCell ref="K78:L78"/>
    <mergeCell ref="C79:F79"/>
    <mergeCell ref="I79:J79"/>
    <mergeCell ref="K79:L79"/>
    <mergeCell ref="C74:F74"/>
    <mergeCell ref="I74:J74"/>
    <mergeCell ref="K74:L74"/>
    <mergeCell ref="B76:J76"/>
    <mergeCell ref="K76:L76"/>
    <mergeCell ref="C77:F77"/>
    <mergeCell ref="I77:J77"/>
    <mergeCell ref="K77:L77"/>
    <mergeCell ref="C84:F84"/>
    <mergeCell ref="I84:J84"/>
    <mergeCell ref="K84:L84"/>
    <mergeCell ref="C85:F85"/>
    <mergeCell ref="I85:J85"/>
    <mergeCell ref="K85:L85"/>
    <mergeCell ref="B81:J81"/>
    <mergeCell ref="K81:L81"/>
    <mergeCell ref="C82:F82"/>
    <mergeCell ref="I82:J82"/>
    <mergeCell ref="K82:L82"/>
    <mergeCell ref="C83:F83"/>
    <mergeCell ref="I83:J83"/>
    <mergeCell ref="K83:L83"/>
    <mergeCell ref="C88:F88"/>
    <mergeCell ref="I88:J88"/>
    <mergeCell ref="K88:L88"/>
    <mergeCell ref="C89:F89"/>
    <mergeCell ref="I89:J89"/>
    <mergeCell ref="K89:L89"/>
    <mergeCell ref="C86:F86"/>
    <mergeCell ref="I86:J86"/>
    <mergeCell ref="K86:L86"/>
    <mergeCell ref="C87:F87"/>
    <mergeCell ref="I87:J87"/>
    <mergeCell ref="K87:L87"/>
    <mergeCell ref="C92:F92"/>
    <mergeCell ref="I92:J92"/>
    <mergeCell ref="K92:L92"/>
    <mergeCell ref="C93:F93"/>
    <mergeCell ref="I93:J93"/>
    <mergeCell ref="K93:L93"/>
    <mergeCell ref="C90:F90"/>
    <mergeCell ref="I90:J90"/>
    <mergeCell ref="K90:L90"/>
    <mergeCell ref="C91:F91"/>
    <mergeCell ref="I91:J91"/>
    <mergeCell ref="K91:L91"/>
    <mergeCell ref="B97:J97"/>
    <mergeCell ref="K97:L97"/>
    <mergeCell ref="C98:F98"/>
    <mergeCell ref="I98:J98"/>
    <mergeCell ref="K98:L98"/>
    <mergeCell ref="C99:F99"/>
    <mergeCell ref="I99:J99"/>
    <mergeCell ref="K99:L99"/>
    <mergeCell ref="C94:F94"/>
    <mergeCell ref="I94:J94"/>
    <mergeCell ref="K94:L94"/>
    <mergeCell ref="C95:F95"/>
    <mergeCell ref="I95:J95"/>
    <mergeCell ref="K95:L95"/>
    <mergeCell ref="A105:J105"/>
    <mergeCell ref="K105:L105"/>
    <mergeCell ref="B101:J101"/>
    <mergeCell ref="K101:L101"/>
    <mergeCell ref="C102:F102"/>
    <mergeCell ref="I102:J102"/>
    <mergeCell ref="K102:L102"/>
    <mergeCell ref="C103:F103"/>
    <mergeCell ref="I103:J103"/>
    <mergeCell ref="K103:L103"/>
  </mergeCells>
  <pageMargins left="0.70866141732283472" right="0.70866141732283472" top="0.74803149606299213" bottom="0.74803149606299213"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showGridLines="0" view="pageBreakPreview" zoomScale="90" zoomScaleNormal="100" zoomScaleSheetLayoutView="90" workbookViewId="0">
      <selection activeCell="U8" sqref="U8"/>
    </sheetView>
  </sheetViews>
  <sheetFormatPr defaultRowHeight="15" customHeight="1" x14ac:dyDescent="0.25"/>
  <cols>
    <col min="1" max="2" width="12.7109375" style="1" customWidth="1"/>
    <col min="3" max="3" width="4.7109375" style="1" customWidth="1"/>
    <col min="4" max="4" width="8.7109375" style="1" customWidth="1"/>
    <col min="5" max="5" width="19" style="1" customWidth="1"/>
    <col min="6" max="6" width="15.7109375" style="1" customWidth="1"/>
    <col min="7" max="14" width="10.7109375" style="1" customWidth="1"/>
    <col min="15" max="16" width="12.7109375" style="1" customWidth="1"/>
    <col min="17" max="16384" width="9.140625" style="1"/>
  </cols>
  <sheetData>
    <row r="1" spans="1:16" ht="15" customHeight="1" x14ac:dyDescent="0.25">
      <c r="A1" s="52" t="str">
        <f>CIDADE</f>
        <v>MUNICÍPIO DE PICOS - PI</v>
      </c>
      <c r="B1" s="52"/>
      <c r="C1" s="52"/>
      <c r="D1" s="52"/>
      <c r="E1" s="52"/>
      <c r="F1" s="52"/>
      <c r="G1" s="52"/>
      <c r="H1" s="52"/>
      <c r="I1" s="52"/>
      <c r="J1" s="52"/>
      <c r="K1" s="52"/>
      <c r="L1" s="52"/>
      <c r="M1" s="52"/>
      <c r="N1" s="52"/>
      <c r="O1" s="52"/>
      <c r="P1" s="52"/>
    </row>
    <row r="2" spans="1:16" ht="15" customHeight="1" x14ac:dyDescent="0.25">
      <c r="A2" s="52" t="str">
        <f>OBRA</f>
        <v>AMPLIAÇÃO ANTIGO PRÉDIO IAPEP PICOS</v>
      </c>
      <c r="B2" s="52"/>
      <c r="C2" s="52"/>
      <c r="D2" s="52"/>
      <c r="E2" s="52"/>
      <c r="F2" s="52"/>
      <c r="G2" s="52"/>
      <c r="H2" s="52"/>
      <c r="I2" s="52"/>
      <c r="J2" s="52"/>
      <c r="K2" s="52"/>
      <c r="L2" s="52"/>
      <c r="M2" s="52"/>
      <c r="N2" s="52"/>
      <c r="O2" s="52"/>
      <c r="P2" s="52"/>
    </row>
    <row r="3" spans="1:16" ht="15" customHeight="1" x14ac:dyDescent="0.25">
      <c r="A3" s="52" t="s">
        <v>104</v>
      </c>
      <c r="B3" s="52"/>
      <c r="C3" s="52"/>
      <c r="D3" s="52"/>
      <c r="E3" s="52"/>
      <c r="F3" s="52"/>
      <c r="G3" s="52"/>
      <c r="H3" s="52"/>
      <c r="I3" s="52"/>
      <c r="J3" s="52"/>
      <c r="K3" s="52"/>
      <c r="L3" s="52"/>
      <c r="M3" s="52"/>
      <c r="N3" s="52"/>
      <c r="O3" s="52"/>
      <c r="P3" s="52"/>
    </row>
    <row r="4" spans="1:16" ht="15" customHeight="1" x14ac:dyDescent="0.25">
      <c r="A4" s="3"/>
      <c r="B4" s="3"/>
      <c r="C4" s="3"/>
      <c r="D4" s="3"/>
      <c r="E4" s="3"/>
      <c r="F4" s="3"/>
      <c r="G4" s="3"/>
      <c r="H4" s="3"/>
      <c r="I4" s="3"/>
      <c r="J4" s="3"/>
      <c r="K4" s="3"/>
      <c r="L4" s="3"/>
      <c r="M4" s="3"/>
      <c r="N4" s="3"/>
      <c r="O4" s="3"/>
      <c r="P4" s="3"/>
    </row>
    <row r="5" spans="1:16" ht="15" customHeight="1" x14ac:dyDescent="0.25">
      <c r="A5" s="2" t="s">
        <v>3</v>
      </c>
      <c r="B5" s="4" t="str">
        <f>FONTE&amp;ONERA</f>
        <v>SINAPI PI-06/2021, SEINFRA 27, ORSE-06/2021, SEM DESONERAÇÃO</v>
      </c>
      <c r="C5" s="2"/>
      <c r="D5" s="2"/>
      <c r="E5" s="2"/>
      <c r="F5" s="3"/>
      <c r="G5" s="2"/>
      <c r="H5" s="5"/>
      <c r="I5" s="3"/>
      <c r="J5" s="3"/>
      <c r="K5" s="90" t="s">
        <v>5</v>
      </c>
      <c r="L5" s="90"/>
      <c r="M5" s="5">
        <f>LEI</f>
        <v>112.14999999999999</v>
      </c>
      <c r="N5" s="2"/>
      <c r="O5" s="2" t="s">
        <v>6</v>
      </c>
      <c r="P5" s="5">
        <f>BDI</f>
        <v>20.8</v>
      </c>
    </row>
    <row r="6" spans="1:16" ht="15" customHeight="1" x14ac:dyDescent="0.25">
      <c r="A6" s="10" t="s">
        <v>19</v>
      </c>
      <c r="B6" s="15" t="s">
        <v>31</v>
      </c>
      <c r="C6" s="49" t="s">
        <v>7</v>
      </c>
      <c r="D6" s="50"/>
      <c r="E6" s="50"/>
      <c r="F6" s="51"/>
      <c r="G6" s="6" t="s">
        <v>32</v>
      </c>
      <c r="H6" s="6" t="s">
        <v>33</v>
      </c>
      <c r="I6" s="6" t="s">
        <v>105</v>
      </c>
      <c r="J6" s="6" t="s">
        <v>106</v>
      </c>
      <c r="K6" s="6" t="s">
        <v>107</v>
      </c>
      <c r="L6" s="6" t="s">
        <v>108</v>
      </c>
      <c r="M6" s="6" t="s">
        <v>109</v>
      </c>
      <c r="N6" s="6" t="s">
        <v>110</v>
      </c>
      <c r="O6" s="6" t="s">
        <v>111</v>
      </c>
      <c r="P6" s="6" t="s">
        <v>21</v>
      </c>
    </row>
    <row r="7" spans="1:16" ht="15" customHeight="1" x14ac:dyDescent="0.25">
      <c r="A7" s="15">
        <v>1</v>
      </c>
      <c r="B7" s="87" t="s">
        <v>112</v>
      </c>
      <c r="C7" s="88"/>
      <c r="D7" s="88"/>
      <c r="E7" s="88"/>
      <c r="F7" s="88"/>
      <c r="G7" s="88"/>
      <c r="H7" s="88"/>
      <c r="I7" s="88"/>
      <c r="J7" s="88"/>
      <c r="K7" s="88"/>
      <c r="L7" s="88"/>
      <c r="M7" s="88"/>
      <c r="N7" s="88"/>
      <c r="O7" s="88"/>
      <c r="P7" s="89"/>
    </row>
    <row r="8" spans="1:16" ht="15" customHeight="1" x14ac:dyDescent="0.25">
      <c r="A8" s="16" t="s">
        <v>35</v>
      </c>
      <c r="B8" s="16" t="s">
        <v>113</v>
      </c>
      <c r="C8" s="84" t="str">
        <f>VLOOKUP(B8,COMPOSICAO!B:K,2,FALSE)</f>
        <v>ADMINISTRAÇÃO LOCAL</v>
      </c>
      <c r="D8" s="85"/>
      <c r="E8" s="85"/>
      <c r="F8" s="86"/>
      <c r="G8" s="16" t="str">
        <f>VLOOKUP(B8,COMPOSICAO!B:K,6,FALSE)</f>
        <v>UND</v>
      </c>
      <c r="H8" s="16"/>
      <c r="I8" s="16"/>
      <c r="J8" s="16"/>
      <c r="K8" s="16"/>
      <c r="L8" s="16"/>
      <c r="M8" s="16"/>
      <c r="N8" s="16"/>
      <c r="O8" s="16"/>
      <c r="P8" s="17">
        <f>SUM(O8:O10)</f>
        <v>62</v>
      </c>
    </row>
    <row r="9" spans="1:16" ht="15" customHeight="1" x14ac:dyDescent="0.25">
      <c r="A9" s="16" t="s">
        <v>114</v>
      </c>
      <c r="B9" s="84" t="s">
        <v>11</v>
      </c>
      <c r="C9" s="85"/>
      <c r="D9" s="85"/>
      <c r="E9" s="85"/>
      <c r="F9" s="86"/>
      <c r="G9" s="16"/>
      <c r="H9" s="17">
        <v>62</v>
      </c>
      <c r="I9" s="17"/>
      <c r="J9" s="17"/>
      <c r="K9" s="17"/>
      <c r="L9" s="17"/>
      <c r="M9" s="17" t="str">
        <f>IF(COUNTA(J9:L9)=2,ROUND(PRODUCT(J9:L9),2),"")</f>
        <v/>
      </c>
      <c r="N9" s="17" t="str">
        <f>IF(OR(COUNTA(J9:L9)=3,AND(COUNTA(J9:L9)=1,M9&lt;&gt;"")),ROUND(PRODUCT(J9:M9),2),"")</f>
        <v/>
      </c>
      <c r="O9" s="17">
        <f>IF(N9&lt;&gt;"",ROUND(PRODUCT(H9,I9,N9),2),IF(M9&lt;&gt;"",ROUND(PRODUCT(H9,I9,M9),2),ROUND(PRODUCT(H9:L9),2)))</f>
        <v>62</v>
      </c>
      <c r="P9" s="17"/>
    </row>
    <row r="10" spans="1:16" ht="15" customHeight="1" x14ac:dyDescent="0.25">
      <c r="A10" s="3"/>
      <c r="B10" s="3"/>
      <c r="C10" s="3"/>
      <c r="D10" s="3"/>
      <c r="E10" s="3"/>
      <c r="F10" s="3"/>
      <c r="G10" s="3"/>
      <c r="H10" s="3"/>
      <c r="I10" s="3"/>
      <c r="J10" s="3"/>
      <c r="K10" s="3"/>
      <c r="L10" s="3"/>
      <c r="M10" s="3"/>
      <c r="N10" s="3"/>
      <c r="O10" s="3"/>
      <c r="P10" s="3"/>
    </row>
    <row r="11" spans="1:16" ht="15" customHeight="1" x14ac:dyDescent="0.25">
      <c r="A11" s="15">
        <v>2</v>
      </c>
      <c r="B11" s="87" t="s">
        <v>115</v>
      </c>
      <c r="C11" s="88"/>
      <c r="D11" s="88"/>
      <c r="E11" s="88"/>
      <c r="F11" s="88"/>
      <c r="G11" s="88"/>
      <c r="H11" s="88"/>
      <c r="I11" s="88"/>
      <c r="J11" s="88"/>
      <c r="K11" s="88"/>
      <c r="L11" s="88"/>
      <c r="M11" s="88"/>
      <c r="N11" s="88"/>
      <c r="O11" s="88"/>
      <c r="P11" s="89"/>
    </row>
    <row r="12" spans="1:16" ht="30" customHeight="1" x14ac:dyDescent="0.25">
      <c r="A12" s="16" t="s">
        <v>36</v>
      </c>
      <c r="B12" s="16" t="s">
        <v>116</v>
      </c>
      <c r="C12" s="84" t="str">
        <f>VLOOKUP(B12,COMPOSICAO!B:K,2,FALSE)</f>
        <v xml:space="preserve">PLACA DE OBRA EM CHAPA DE AÇO GALVANIZADO </v>
      </c>
      <c r="D12" s="85"/>
      <c r="E12" s="85"/>
      <c r="F12" s="86"/>
      <c r="G12" s="16" t="str">
        <f>VLOOKUP(B12,COMPOSICAO!B:K,6,FALSE)</f>
        <v>M²</v>
      </c>
      <c r="H12" s="16"/>
      <c r="I12" s="16"/>
      <c r="J12" s="16"/>
      <c r="K12" s="16"/>
      <c r="L12" s="16"/>
      <c r="M12" s="16"/>
      <c r="N12" s="16"/>
      <c r="O12" s="16"/>
      <c r="P12" s="17">
        <f>SUM(O12:O14)</f>
        <v>1</v>
      </c>
    </row>
    <row r="13" spans="1:16" ht="15" customHeight="1" x14ac:dyDescent="0.25">
      <c r="A13" s="16" t="s">
        <v>117</v>
      </c>
      <c r="B13" s="84" t="s">
        <v>11</v>
      </c>
      <c r="C13" s="85"/>
      <c r="D13" s="85"/>
      <c r="E13" s="85"/>
      <c r="F13" s="86"/>
      <c r="G13" s="16"/>
      <c r="H13" s="17"/>
      <c r="I13" s="17"/>
      <c r="J13" s="17">
        <v>1</v>
      </c>
      <c r="K13" s="17"/>
      <c r="L13" s="17">
        <v>1</v>
      </c>
      <c r="M13" s="17">
        <f>IF(COUNTA(J13:L13)=2,ROUND(PRODUCT(J13:L13),2),"")</f>
        <v>1</v>
      </c>
      <c r="N13" s="17" t="str">
        <f>IF(OR(COUNTA(J13:L13)=3,AND(COUNTA(J13:L13)=1,M13&lt;&gt;"")),ROUND(PRODUCT(J13:M13),2),"")</f>
        <v/>
      </c>
      <c r="O13" s="17">
        <f>IF(N13&lt;&gt;"",ROUND(PRODUCT(H13,I13,N13),2),IF(M13&lt;&gt;"",ROUND(PRODUCT(H13,I13,M13),2),ROUND(PRODUCT(H13:L13),2)))</f>
        <v>1</v>
      </c>
      <c r="P13" s="17"/>
    </row>
    <row r="14" spans="1:16" ht="15" customHeight="1" x14ac:dyDescent="0.25">
      <c r="A14" s="3"/>
      <c r="B14" s="3"/>
      <c r="C14" s="3"/>
      <c r="D14" s="3"/>
      <c r="E14" s="3"/>
      <c r="F14" s="3"/>
      <c r="G14" s="3"/>
      <c r="H14" s="3"/>
      <c r="I14" s="3"/>
      <c r="J14" s="3"/>
      <c r="K14" s="3"/>
      <c r="L14" s="3"/>
      <c r="M14" s="3"/>
      <c r="N14" s="3"/>
      <c r="O14" s="3"/>
      <c r="P14" s="3"/>
    </row>
    <row r="15" spans="1:16" ht="60" customHeight="1" x14ac:dyDescent="0.25">
      <c r="A15" s="16" t="s">
        <v>37</v>
      </c>
      <c r="B15" s="16" t="s">
        <v>118</v>
      </c>
      <c r="C15" s="84" t="str">
        <f>VLOOKUP(B15,COMPOSICAO!B:K,2,FALSE)</f>
        <v>LIGAÇÃO PREDIAL DE ÁGUA EM MURETA DE CONCRETO, PROVISÓRIA OU DEFINITIVA, COM FORNECIMENTO DE MATERIAL, INCLUSIVE MURETA E HIDRÔMETRO, REDE DN 50MM</v>
      </c>
      <c r="D15" s="85"/>
      <c r="E15" s="85"/>
      <c r="F15" s="86"/>
      <c r="G15" s="16" t="str">
        <f>VLOOKUP(B15,COMPOSICAO!B:K,6,FALSE)</f>
        <v>UN</v>
      </c>
      <c r="H15" s="16"/>
      <c r="I15" s="16"/>
      <c r="J15" s="16"/>
      <c r="K15" s="16"/>
      <c r="L15" s="16"/>
      <c r="M15" s="16"/>
      <c r="N15" s="16"/>
      <c r="O15" s="16"/>
      <c r="P15" s="17">
        <f>SUM(O15:O17)</f>
        <v>1</v>
      </c>
    </row>
    <row r="16" spans="1:16" ht="15" customHeight="1" x14ac:dyDescent="0.25">
      <c r="A16" s="16" t="s">
        <v>119</v>
      </c>
      <c r="B16" s="84" t="s">
        <v>11</v>
      </c>
      <c r="C16" s="85"/>
      <c r="D16" s="85"/>
      <c r="E16" s="85"/>
      <c r="F16" s="86"/>
      <c r="G16" s="16"/>
      <c r="H16" s="17">
        <v>1</v>
      </c>
      <c r="I16" s="17"/>
      <c r="J16" s="17"/>
      <c r="K16" s="17"/>
      <c r="L16" s="17"/>
      <c r="M16" s="17" t="str">
        <f>IF(COUNTA(J16:L16)=2,ROUND(PRODUCT(J16:L16),2),"")</f>
        <v/>
      </c>
      <c r="N16" s="17" t="str">
        <f>IF(OR(COUNTA(J16:L16)=3,AND(COUNTA(J16:L16)=1,M16&lt;&gt;"")),ROUND(PRODUCT(J16:M16),2),"")</f>
        <v/>
      </c>
      <c r="O16" s="17">
        <f>IF(N16&lt;&gt;"",ROUND(PRODUCT(H16,I16,N16),2),IF(M16&lt;&gt;"",ROUND(PRODUCT(H16,I16,M16),2),ROUND(PRODUCT(H16:L16),2)))</f>
        <v>1</v>
      </c>
      <c r="P16" s="17"/>
    </row>
    <row r="17" spans="1:17" ht="15" customHeight="1" x14ac:dyDescent="0.25">
      <c r="A17" s="3"/>
      <c r="B17" s="3"/>
      <c r="C17" s="3"/>
      <c r="D17" s="3"/>
      <c r="E17" s="3"/>
      <c r="F17" s="3"/>
      <c r="G17" s="3"/>
      <c r="H17" s="3"/>
      <c r="I17" s="3"/>
      <c r="J17" s="3"/>
      <c r="K17" s="3"/>
      <c r="L17" s="3"/>
      <c r="M17" s="3"/>
      <c r="N17" s="3"/>
      <c r="O17" s="3"/>
      <c r="P17" s="3"/>
    </row>
    <row r="18" spans="1:17" ht="30" customHeight="1" x14ac:dyDescent="0.25">
      <c r="A18" s="16" t="s">
        <v>38</v>
      </c>
      <c r="B18" s="16" t="s">
        <v>120</v>
      </c>
      <c r="C18" s="84" t="str">
        <f>VLOOKUP(B18,COMPOSICAO!B:K,2,FALSE)</f>
        <v>ENTRADA DE ENERGIA ELÉTRICA MONOFÁSICA DEMANDA ENTRE 0 E 3,8 KW - REV 01</v>
      </c>
      <c r="D18" s="85"/>
      <c r="E18" s="85"/>
      <c r="F18" s="86"/>
      <c r="G18" s="16" t="str">
        <f>VLOOKUP(B18,COMPOSICAO!B:K,6,FALSE)</f>
        <v>UN</v>
      </c>
      <c r="H18" s="16"/>
      <c r="I18" s="16"/>
      <c r="J18" s="16"/>
      <c r="K18" s="16"/>
      <c r="L18" s="16"/>
      <c r="M18" s="16"/>
      <c r="N18" s="16"/>
      <c r="O18" s="16"/>
      <c r="P18" s="17">
        <f>SUM(O18:O20)</f>
        <v>1</v>
      </c>
    </row>
    <row r="19" spans="1:17" ht="15" customHeight="1" x14ac:dyDescent="0.25">
      <c r="A19" s="16" t="s">
        <v>121</v>
      </c>
      <c r="B19" s="84" t="s">
        <v>11</v>
      </c>
      <c r="C19" s="85"/>
      <c r="D19" s="85"/>
      <c r="E19" s="85"/>
      <c r="F19" s="86"/>
      <c r="G19" s="16"/>
      <c r="H19" s="17">
        <v>1</v>
      </c>
      <c r="I19" s="17"/>
      <c r="J19" s="17"/>
      <c r="K19" s="17"/>
      <c r="L19" s="17"/>
      <c r="M19" s="17" t="str">
        <f>IF(COUNTA(J19:L19)=2,ROUND(PRODUCT(J19:L19),2),"")</f>
        <v/>
      </c>
      <c r="N19" s="17" t="str">
        <f>IF(OR(COUNTA(J19:L19)=3,AND(COUNTA(J19:L19)=1,M19&lt;&gt;"")),ROUND(PRODUCT(J19:M19),2),"")</f>
        <v/>
      </c>
      <c r="O19" s="17">
        <f>IF(N19&lt;&gt;"",ROUND(PRODUCT(H19,I19,N19),2),IF(M19&lt;&gt;"",ROUND(PRODUCT(H19,I19,M19),2),ROUND(PRODUCT(H19:L19),2)))</f>
        <v>1</v>
      </c>
      <c r="P19" s="17"/>
    </row>
    <row r="20" spans="1:17" ht="15" customHeight="1" x14ac:dyDescent="0.25">
      <c r="A20" s="3"/>
      <c r="B20" s="3"/>
      <c r="C20" s="3"/>
      <c r="D20" s="3"/>
      <c r="E20" s="3"/>
      <c r="F20" s="3"/>
      <c r="G20" s="3"/>
      <c r="H20" s="3"/>
      <c r="I20" s="3"/>
      <c r="J20" s="3"/>
      <c r="K20" s="3"/>
      <c r="L20" s="3"/>
      <c r="M20" s="3"/>
      <c r="N20" s="3"/>
      <c r="O20" s="3"/>
      <c r="P20" s="3"/>
    </row>
    <row r="21" spans="1:17" ht="30" customHeight="1" x14ac:dyDescent="0.25">
      <c r="A21" s="16" t="s">
        <v>39</v>
      </c>
      <c r="B21" s="20">
        <v>98524</v>
      </c>
      <c r="C21" s="84" t="str">
        <f>VLOOKUP(B21,COMPOSICAO!B:K,2,FALSE)</f>
        <v>LIMPEZA MANUAL DE VEGETAÇÃO EM TERRENO COM ENXADA.AF_05/2018</v>
      </c>
      <c r="D21" s="85"/>
      <c r="E21" s="85"/>
      <c r="F21" s="86"/>
      <c r="G21" s="16" t="str">
        <f>VLOOKUP(B21,COMPOSICAO!B:K,6,FALSE)</f>
        <v>M2</v>
      </c>
      <c r="H21" s="16"/>
      <c r="I21" s="16"/>
      <c r="J21" s="16"/>
      <c r="K21" s="16"/>
      <c r="L21" s="16"/>
      <c r="M21" s="16"/>
      <c r="N21" s="16"/>
      <c r="O21" s="16"/>
      <c r="P21" s="17">
        <f>SUM(O21:O23)</f>
        <v>388.03</v>
      </c>
    </row>
    <row r="22" spans="1:17" ht="15" customHeight="1" x14ac:dyDescent="0.25">
      <c r="A22" s="16" t="s">
        <v>122</v>
      </c>
      <c r="B22" s="84" t="s">
        <v>11</v>
      </c>
      <c r="C22" s="85"/>
      <c r="D22" s="85"/>
      <c r="E22" s="85"/>
      <c r="F22" s="86"/>
      <c r="G22" s="16"/>
      <c r="H22" s="17"/>
      <c r="I22" s="17"/>
      <c r="J22" s="17"/>
      <c r="K22" s="17"/>
      <c r="L22" s="17"/>
      <c r="M22" s="17">
        <v>388.03</v>
      </c>
      <c r="N22" s="17" t="str">
        <f>IF(OR(COUNTA(J22:L22)=3,AND(COUNTA(J22:L22)=1,M22&lt;&gt;"")),ROUND(PRODUCT(J22:M22),2),"")</f>
        <v/>
      </c>
      <c r="O22" s="17">
        <f>IF(N22&lt;&gt;"",ROUND(PRODUCT(H22,I22,N22),2),IF(M22&lt;&gt;"",ROUND(PRODUCT(H22,I22,M22),2),ROUND(PRODUCT(H22:L22),2)))</f>
        <v>388.03</v>
      </c>
      <c r="P22" s="17"/>
    </row>
    <row r="23" spans="1:17" ht="15" customHeight="1" x14ac:dyDescent="0.25">
      <c r="A23" s="3"/>
      <c r="B23" s="3"/>
      <c r="C23" s="3"/>
      <c r="D23" s="3"/>
      <c r="E23" s="3"/>
      <c r="F23" s="3"/>
      <c r="G23" s="3"/>
      <c r="H23" s="3"/>
      <c r="I23" s="3"/>
      <c r="J23" s="3"/>
      <c r="K23" s="3"/>
      <c r="L23" s="3"/>
      <c r="M23" s="3"/>
      <c r="N23" s="3"/>
      <c r="O23" s="3"/>
      <c r="P23" s="3"/>
    </row>
    <row r="24" spans="1:17" ht="45" customHeight="1" x14ac:dyDescent="0.25">
      <c r="A24" s="16" t="s">
        <v>40</v>
      </c>
      <c r="B24" s="20">
        <v>98530</v>
      </c>
      <c r="C24" s="84" t="str">
        <f>VLOOKUP(B24,COMPOSICAO!B:K,2,FALSE)</f>
        <v>CORTE RASO E RECORTE DE ÁRVORE COM DIÂMETRO DE TRONCO MAIOR OU IGUAL A 0,40 M E MENOR QUE 0,60 M.AF_05/2018</v>
      </c>
      <c r="D24" s="85"/>
      <c r="E24" s="85"/>
      <c r="F24" s="86"/>
      <c r="G24" s="16" t="str">
        <f>VLOOKUP(B24,COMPOSICAO!B:K,6,FALSE)</f>
        <v>UN</v>
      </c>
      <c r="H24" s="16"/>
      <c r="I24" s="16"/>
      <c r="J24" s="16"/>
      <c r="K24" s="16"/>
      <c r="L24" s="16"/>
      <c r="M24" s="16"/>
      <c r="N24" s="16"/>
      <c r="O24" s="16"/>
      <c r="P24" s="17">
        <f>SUM(O24:O26)</f>
        <v>3</v>
      </c>
    </row>
    <row r="25" spans="1:17" ht="15" customHeight="1" x14ac:dyDescent="0.25">
      <c r="A25" s="16" t="s">
        <v>123</v>
      </c>
      <c r="B25" s="84" t="s">
        <v>11</v>
      </c>
      <c r="C25" s="85"/>
      <c r="D25" s="85"/>
      <c r="E25" s="85"/>
      <c r="F25" s="86"/>
      <c r="G25" s="16"/>
      <c r="H25" s="17">
        <v>3</v>
      </c>
      <c r="I25" s="17"/>
      <c r="J25" s="17"/>
      <c r="K25" s="17"/>
      <c r="L25" s="17"/>
      <c r="M25" s="17" t="str">
        <f>IF(COUNTA(J25:L25)=2,ROUND(PRODUCT(J25:L25),2),"")</f>
        <v/>
      </c>
      <c r="N25" s="17" t="str">
        <f>IF(OR(COUNTA(J25:L25)=3,AND(COUNTA(J25:L25)=1,M25&lt;&gt;"")),ROUND(PRODUCT(J25:M25),2),"")</f>
        <v/>
      </c>
      <c r="O25" s="17">
        <f>IF(N25&lt;&gt;"",ROUND(PRODUCT(H25,I25,N25),2),IF(M25&lt;&gt;"",ROUND(PRODUCT(H25,I25,M25),2),ROUND(PRODUCT(H25:L25),2)))</f>
        <v>3</v>
      </c>
      <c r="P25" s="17"/>
    </row>
    <row r="26" spans="1:17" ht="15" customHeight="1" x14ac:dyDescent="0.25">
      <c r="A26" s="3"/>
      <c r="B26" s="3"/>
      <c r="C26" s="3"/>
      <c r="D26" s="3"/>
      <c r="E26" s="3"/>
      <c r="F26" s="3"/>
      <c r="G26" s="3"/>
      <c r="H26" s="3"/>
      <c r="I26" s="3"/>
      <c r="J26" s="3"/>
      <c r="K26" s="3"/>
      <c r="L26" s="3"/>
      <c r="M26" s="3"/>
      <c r="N26" s="3"/>
      <c r="O26" s="3"/>
      <c r="P26" s="3"/>
    </row>
    <row r="27" spans="1:17" ht="30" customHeight="1" x14ac:dyDescent="0.25">
      <c r="A27" s="16" t="s">
        <v>41</v>
      </c>
      <c r="B27" s="16" t="s">
        <v>124</v>
      </c>
      <c r="C27" s="84" t="str">
        <f>VLOOKUP(B27,COMPOSICAO!B:K,2,FALSE)</f>
        <v>SERVIÇOS DE SONDAGEM GEOTÉCNICA MISTA EM SOLOS</v>
      </c>
      <c r="D27" s="85"/>
      <c r="E27" s="85"/>
      <c r="F27" s="86"/>
      <c r="G27" s="16" t="str">
        <f>VLOOKUP(B27,COMPOSICAO!B:K,6,FALSE)</f>
        <v>M</v>
      </c>
      <c r="H27" s="16"/>
      <c r="I27" s="16"/>
      <c r="J27" s="16"/>
      <c r="K27" s="16"/>
      <c r="L27" s="16"/>
      <c r="M27" s="16"/>
      <c r="N27" s="16"/>
      <c r="O27" s="16"/>
      <c r="P27" s="17">
        <f>SUM(O27:O29)</f>
        <v>10</v>
      </c>
    </row>
    <row r="28" spans="1:17" ht="15" customHeight="1" x14ac:dyDescent="0.25">
      <c r="A28" s="16" t="s">
        <v>125</v>
      </c>
      <c r="B28" s="84" t="s">
        <v>126</v>
      </c>
      <c r="C28" s="85"/>
      <c r="D28" s="85"/>
      <c r="E28" s="85"/>
      <c r="F28" s="86"/>
      <c r="G28" s="16"/>
      <c r="H28" s="17">
        <v>2</v>
      </c>
      <c r="I28" s="17"/>
      <c r="J28" s="17">
        <v>5</v>
      </c>
      <c r="K28" s="17"/>
      <c r="L28" s="17"/>
      <c r="M28" s="17" t="str">
        <f>IF(COUNTA(J28:L28)=2,ROUND(PRODUCT(J28:L28),2),"")</f>
        <v/>
      </c>
      <c r="N28" s="17" t="str">
        <f>IF(OR(COUNTA(J28:L28)=3,AND(COUNTA(J28:L28)=1,M28&lt;&gt;"")),ROUND(PRODUCT(J28:M28),2),"")</f>
        <v/>
      </c>
      <c r="O28" s="17">
        <f>IF(N28&lt;&gt;"",ROUND(PRODUCT(H28,I28,N28),2),IF(M28&lt;&gt;"",ROUND(PRODUCT(H28,I28,M28),2),ROUND(PRODUCT(H28:L28),2)))</f>
        <v>10</v>
      </c>
      <c r="P28" s="17"/>
    </row>
    <row r="29" spans="1:17" ht="15" customHeight="1" x14ac:dyDescent="0.25">
      <c r="A29" s="3"/>
      <c r="B29" s="3"/>
      <c r="C29" s="3"/>
      <c r="D29" s="3"/>
      <c r="E29" s="3"/>
      <c r="F29" s="3"/>
      <c r="G29" s="3"/>
      <c r="H29" s="3"/>
      <c r="I29" s="3"/>
      <c r="J29" s="3"/>
      <c r="K29" s="3"/>
      <c r="L29" s="3"/>
      <c r="M29" s="3"/>
      <c r="N29" s="3"/>
      <c r="O29" s="3"/>
      <c r="P29" s="3"/>
    </row>
    <row r="30" spans="1:17" ht="30" customHeight="1" x14ac:dyDescent="0.25">
      <c r="A30" s="16" t="s">
        <v>42</v>
      </c>
      <c r="B30" s="16" t="s">
        <v>127</v>
      </c>
      <c r="C30" s="84" t="s">
        <v>128</v>
      </c>
      <c r="D30" s="85"/>
      <c r="E30" s="85"/>
      <c r="F30" s="86"/>
      <c r="G30" s="16" t="s">
        <v>129</v>
      </c>
      <c r="H30" s="16"/>
      <c r="I30" s="16"/>
      <c r="J30" s="16"/>
      <c r="K30" s="16"/>
      <c r="L30" s="16"/>
      <c r="M30" s="16"/>
      <c r="N30" s="16"/>
      <c r="O30" s="16"/>
      <c r="P30" s="17">
        <f>SUM(O30:O32)</f>
        <v>134.76</v>
      </c>
      <c r="Q30" s="19" t="s">
        <v>43</v>
      </c>
    </row>
    <row r="31" spans="1:17" ht="15" customHeight="1" x14ac:dyDescent="0.25">
      <c r="A31" s="16" t="s">
        <v>130</v>
      </c>
      <c r="B31" s="84" t="s">
        <v>11</v>
      </c>
      <c r="C31" s="85"/>
      <c r="D31" s="85"/>
      <c r="E31" s="85"/>
      <c r="F31" s="86"/>
      <c r="G31" s="16"/>
      <c r="H31" s="17"/>
      <c r="I31" s="17"/>
      <c r="J31" s="17">
        <v>6</v>
      </c>
      <c r="K31" s="17">
        <v>22.46</v>
      </c>
      <c r="L31" s="17"/>
      <c r="M31" s="17">
        <f>IF(COUNTA(J31:L31)=2,ROUND(PRODUCT(J31:L31),2),"")</f>
        <v>134.76</v>
      </c>
      <c r="N31" s="17" t="str">
        <f>IF(OR(COUNTA(J31:L31)=3,AND(COUNTA(J31:L31)=1,M31&lt;&gt;"")),ROUND(PRODUCT(J31:M31),2),"")</f>
        <v/>
      </c>
      <c r="O31" s="17">
        <f>IF(N31&lt;&gt;"",ROUND(PRODUCT(H31,I31,N31),2),IF(M31&lt;&gt;"",ROUND(PRODUCT(H31,I31,M31),2),ROUND(PRODUCT(H31:L31),2)))</f>
        <v>134.76</v>
      </c>
      <c r="P31" s="17"/>
    </row>
    <row r="32" spans="1:17" ht="15" customHeight="1" x14ac:dyDescent="0.25">
      <c r="A32" s="3"/>
      <c r="B32" s="3"/>
      <c r="C32" s="3"/>
      <c r="D32" s="3"/>
      <c r="E32" s="3"/>
      <c r="F32" s="3"/>
      <c r="G32" s="3"/>
      <c r="H32" s="3"/>
      <c r="I32" s="3"/>
      <c r="J32" s="3"/>
      <c r="K32" s="3"/>
      <c r="L32" s="3"/>
      <c r="M32" s="3"/>
      <c r="N32" s="3"/>
      <c r="O32" s="3"/>
      <c r="P32" s="3"/>
    </row>
    <row r="33" spans="1:16" ht="15" customHeight="1" x14ac:dyDescent="0.25">
      <c r="A33" s="16" t="s">
        <v>44</v>
      </c>
      <c r="B33" s="16" t="s">
        <v>131</v>
      </c>
      <c r="C33" s="84" t="str">
        <f>VLOOKUP(B33,COMPOSICAO!B:K,2,FALSE)</f>
        <v>PROJETO HIDRAÚLICO - ÁGUA FRIA</v>
      </c>
      <c r="D33" s="85"/>
      <c r="E33" s="85"/>
      <c r="F33" s="86"/>
      <c r="G33" s="16" t="str">
        <f>VLOOKUP(B33,COMPOSICAO!B:K,6,FALSE)</f>
        <v>M²</v>
      </c>
      <c r="H33" s="16"/>
      <c r="I33" s="16"/>
      <c r="J33" s="16"/>
      <c r="K33" s="16"/>
      <c r="L33" s="16"/>
      <c r="M33" s="16"/>
      <c r="N33" s="16"/>
      <c r="O33" s="16"/>
      <c r="P33" s="17">
        <f>SUM(O33:O35)</f>
        <v>134.76</v>
      </c>
    </row>
    <row r="34" spans="1:16" ht="15" customHeight="1" x14ac:dyDescent="0.25">
      <c r="A34" s="16" t="s">
        <v>132</v>
      </c>
      <c r="B34" s="84" t="s">
        <v>11</v>
      </c>
      <c r="C34" s="85"/>
      <c r="D34" s="85"/>
      <c r="E34" s="85"/>
      <c r="F34" s="86"/>
      <c r="G34" s="16"/>
      <c r="H34" s="17"/>
      <c r="I34" s="17"/>
      <c r="J34" s="17"/>
      <c r="K34" s="17"/>
      <c r="L34" s="17"/>
      <c r="M34" s="17">
        <v>134.76</v>
      </c>
      <c r="N34" s="17" t="str">
        <f>IF(OR(COUNTA(J34:L34)=3,AND(COUNTA(J34:L34)=1,M34&lt;&gt;"")),ROUND(PRODUCT(J34:M34),2),"")</f>
        <v/>
      </c>
      <c r="O34" s="17">
        <f>IF(N34&lt;&gt;"",ROUND(PRODUCT(H34,I34,N34),2),IF(M34&lt;&gt;"",ROUND(PRODUCT(H34,I34,M34),2),ROUND(PRODUCT(H34:L34),2)))</f>
        <v>134.76</v>
      </c>
      <c r="P34" s="17"/>
    </row>
    <row r="35" spans="1:16" ht="15" customHeight="1" x14ac:dyDescent="0.25">
      <c r="A35" s="3"/>
      <c r="B35" s="3"/>
      <c r="C35" s="3"/>
      <c r="D35" s="3"/>
      <c r="E35" s="3"/>
      <c r="F35" s="3"/>
      <c r="G35" s="3"/>
      <c r="H35" s="3"/>
      <c r="I35" s="3"/>
      <c r="J35" s="3"/>
      <c r="K35" s="3"/>
      <c r="L35" s="3"/>
      <c r="M35" s="3"/>
      <c r="N35" s="3"/>
      <c r="O35" s="3"/>
      <c r="P35" s="3"/>
    </row>
    <row r="36" spans="1:16" ht="45" customHeight="1" x14ac:dyDescent="0.25">
      <c r="A36" s="16" t="s">
        <v>45</v>
      </c>
      <c r="B36" s="16" t="s">
        <v>133</v>
      </c>
      <c r="C36" s="84" t="str">
        <f>VLOOKUP(B36,COMPOSICAO!B:K,2,FALSE)</f>
        <v>PROJETO DE REDE DE ESGOTO SANITÁRIO COM TRATAMENTO SIMPLES (FOSSA E FILTRO, SUMIDOURO)</v>
      </c>
      <c r="D36" s="85"/>
      <c r="E36" s="85"/>
      <c r="F36" s="86"/>
      <c r="G36" s="16" t="str">
        <f>VLOOKUP(B36,COMPOSICAO!B:K,6,FALSE)</f>
        <v>M²</v>
      </c>
      <c r="H36" s="16"/>
      <c r="I36" s="16"/>
      <c r="J36" s="16"/>
      <c r="K36" s="16"/>
      <c r="L36" s="16"/>
      <c r="M36" s="16"/>
      <c r="N36" s="16"/>
      <c r="O36" s="16"/>
      <c r="P36" s="17">
        <f>SUM(O36:O38)</f>
        <v>134.76</v>
      </c>
    </row>
    <row r="37" spans="1:16" ht="15" customHeight="1" x14ac:dyDescent="0.25">
      <c r="A37" s="16" t="s">
        <v>134</v>
      </c>
      <c r="B37" s="84" t="s">
        <v>11</v>
      </c>
      <c r="C37" s="85"/>
      <c r="D37" s="85"/>
      <c r="E37" s="85"/>
      <c r="F37" s="86"/>
      <c r="G37" s="16"/>
      <c r="H37" s="17"/>
      <c r="I37" s="17"/>
      <c r="J37" s="17"/>
      <c r="K37" s="17"/>
      <c r="L37" s="17"/>
      <c r="M37" s="17">
        <v>134.76</v>
      </c>
      <c r="N37" s="17" t="str">
        <f>IF(OR(COUNTA(J37:L37)=3,AND(COUNTA(J37:L37)=1,M37&lt;&gt;"")),ROUND(PRODUCT(J37:M37),2),"")</f>
        <v/>
      </c>
      <c r="O37" s="17">
        <f>IF(N37&lt;&gt;"",ROUND(PRODUCT(H37,I37,N37),2),IF(M37&lt;&gt;"",ROUND(PRODUCT(H37,I37,M37),2),ROUND(PRODUCT(H37:L37),2)))</f>
        <v>134.76</v>
      </c>
      <c r="P37" s="17"/>
    </row>
    <row r="38" spans="1:16" ht="15" customHeight="1" x14ac:dyDescent="0.25">
      <c r="A38" s="3"/>
      <c r="B38" s="3"/>
      <c r="C38" s="3"/>
      <c r="D38" s="3"/>
      <c r="E38" s="3"/>
      <c r="F38" s="3"/>
      <c r="G38" s="3"/>
      <c r="H38" s="3"/>
      <c r="I38" s="3"/>
      <c r="J38" s="3"/>
      <c r="K38" s="3"/>
      <c r="L38" s="3"/>
      <c r="M38" s="3"/>
      <c r="N38" s="3"/>
      <c r="O38" s="3"/>
      <c r="P38" s="3"/>
    </row>
    <row r="39" spans="1:16" ht="15" customHeight="1" x14ac:dyDescent="0.25">
      <c r="A39" s="15">
        <v>3</v>
      </c>
      <c r="B39" s="87" t="s">
        <v>135</v>
      </c>
      <c r="C39" s="88"/>
      <c r="D39" s="88"/>
      <c r="E39" s="88"/>
      <c r="F39" s="88"/>
      <c r="G39" s="88"/>
      <c r="H39" s="88"/>
      <c r="I39" s="88"/>
      <c r="J39" s="88"/>
      <c r="K39" s="88"/>
      <c r="L39" s="88"/>
      <c r="M39" s="88"/>
      <c r="N39" s="88"/>
      <c r="O39" s="88"/>
      <c r="P39" s="89"/>
    </row>
    <row r="40" spans="1:16" ht="45" customHeight="1" x14ac:dyDescent="0.25">
      <c r="A40" s="16" t="s">
        <v>46</v>
      </c>
      <c r="B40" s="20">
        <v>96526</v>
      </c>
      <c r="C40" s="84" t="str">
        <f>VLOOKUP(B40,COMPOSICAO!B:K,2,FALSE)</f>
        <v>ESCAVAÇÃO MANUAL DE VALA PARA VIGA BALDRAME, SEM PREVISÃO DE FÔRMA. AF_06/2017</v>
      </c>
      <c r="D40" s="85"/>
      <c r="E40" s="85"/>
      <c r="F40" s="86"/>
      <c r="G40" s="16" t="str">
        <f>VLOOKUP(B40,COMPOSICAO!B:K,6,FALSE)</f>
        <v>M3</v>
      </c>
      <c r="H40" s="16"/>
      <c r="I40" s="16"/>
      <c r="J40" s="16"/>
      <c r="K40" s="16"/>
      <c r="L40" s="16"/>
      <c r="M40" s="16"/>
      <c r="N40" s="16"/>
      <c r="O40" s="16"/>
      <c r="P40" s="17">
        <f>SUM(O40:O47)</f>
        <v>16.55</v>
      </c>
    </row>
    <row r="41" spans="1:16" ht="15" customHeight="1" x14ac:dyDescent="0.25">
      <c r="A41" s="16" t="s">
        <v>136</v>
      </c>
      <c r="B41" s="84" t="s">
        <v>137</v>
      </c>
      <c r="C41" s="85"/>
      <c r="D41" s="85"/>
      <c r="E41" s="85"/>
      <c r="F41" s="86"/>
      <c r="G41" s="16"/>
      <c r="H41" s="17"/>
      <c r="I41" s="17"/>
      <c r="J41" s="17">
        <v>6</v>
      </c>
      <c r="K41" s="17">
        <v>0.5</v>
      </c>
      <c r="L41" s="17">
        <v>0.5</v>
      </c>
      <c r="M41" s="17" t="str">
        <f t="shared" ref="M41:M46" si="0">IF(COUNTA(J41:L41)=2,ROUND(PRODUCT(J41:L41),2),"")</f>
        <v/>
      </c>
      <c r="N41" s="17">
        <f t="shared" ref="N41:N46" si="1">IF(OR(COUNTA(J41:L41)=3,AND(COUNTA(J41:L41)=1,M41&lt;&gt;"")),ROUND(PRODUCT(J41:M41),2),"")</f>
        <v>1.5</v>
      </c>
      <c r="O41" s="17">
        <f t="shared" ref="O41:O46" si="2">IF(N41&lt;&gt;"",ROUND(PRODUCT(H41,I41,N41),2),IF(M41&lt;&gt;"",ROUND(PRODUCT(H41,I41,M41),2),ROUND(PRODUCT(H41:L41),2)))</f>
        <v>1.5</v>
      </c>
      <c r="P41" s="17"/>
    </row>
    <row r="42" spans="1:16" ht="15" customHeight="1" x14ac:dyDescent="0.25">
      <c r="A42" s="16" t="s">
        <v>138</v>
      </c>
      <c r="B42" s="84" t="s">
        <v>139</v>
      </c>
      <c r="C42" s="85"/>
      <c r="D42" s="85"/>
      <c r="E42" s="85"/>
      <c r="F42" s="86"/>
      <c r="G42" s="16"/>
      <c r="H42" s="17"/>
      <c r="I42" s="17"/>
      <c r="J42" s="17">
        <v>6</v>
      </c>
      <c r="K42" s="17">
        <v>0.5</v>
      </c>
      <c r="L42" s="17">
        <v>0.5</v>
      </c>
      <c r="M42" s="17" t="str">
        <f t="shared" si="0"/>
        <v/>
      </c>
      <c r="N42" s="17">
        <f t="shared" si="1"/>
        <v>1.5</v>
      </c>
      <c r="O42" s="17">
        <f t="shared" si="2"/>
        <v>1.5</v>
      </c>
      <c r="P42" s="17"/>
    </row>
    <row r="43" spans="1:16" ht="15" customHeight="1" x14ac:dyDescent="0.25">
      <c r="A43" s="16" t="s">
        <v>140</v>
      </c>
      <c r="B43" s="84" t="s">
        <v>141</v>
      </c>
      <c r="C43" s="85"/>
      <c r="D43" s="85"/>
      <c r="E43" s="85"/>
      <c r="F43" s="86"/>
      <c r="G43" s="16"/>
      <c r="H43" s="17"/>
      <c r="I43" s="17"/>
      <c r="J43" s="17">
        <v>6</v>
      </c>
      <c r="K43" s="17">
        <v>0.5</v>
      </c>
      <c r="L43" s="17">
        <v>0.5</v>
      </c>
      <c r="M43" s="17" t="str">
        <f t="shared" si="0"/>
        <v/>
      </c>
      <c r="N43" s="17">
        <f t="shared" si="1"/>
        <v>1.5</v>
      </c>
      <c r="O43" s="17">
        <f t="shared" si="2"/>
        <v>1.5</v>
      </c>
      <c r="P43" s="17"/>
    </row>
    <row r="44" spans="1:16" ht="15" customHeight="1" x14ac:dyDescent="0.25">
      <c r="A44" s="16" t="s">
        <v>142</v>
      </c>
      <c r="B44" s="84" t="s">
        <v>143</v>
      </c>
      <c r="C44" s="85"/>
      <c r="D44" s="85"/>
      <c r="E44" s="85"/>
      <c r="F44" s="86"/>
      <c r="G44" s="16"/>
      <c r="H44" s="17"/>
      <c r="I44" s="17"/>
      <c r="J44" s="17">
        <v>22.46</v>
      </c>
      <c r="K44" s="17">
        <v>0.5</v>
      </c>
      <c r="L44" s="17">
        <v>0.5</v>
      </c>
      <c r="M44" s="17" t="str">
        <f t="shared" si="0"/>
        <v/>
      </c>
      <c r="N44" s="17">
        <f t="shared" si="1"/>
        <v>5.62</v>
      </c>
      <c r="O44" s="17">
        <f t="shared" si="2"/>
        <v>5.62</v>
      </c>
      <c r="P44" s="17"/>
    </row>
    <row r="45" spans="1:16" ht="15" customHeight="1" x14ac:dyDescent="0.25">
      <c r="A45" s="16" t="s">
        <v>144</v>
      </c>
      <c r="B45" s="84" t="s">
        <v>145</v>
      </c>
      <c r="C45" s="85"/>
      <c r="D45" s="85"/>
      <c r="E45" s="85"/>
      <c r="F45" s="86"/>
      <c r="G45" s="16"/>
      <c r="H45" s="17"/>
      <c r="I45" s="17"/>
      <c r="J45" s="17">
        <v>3.25</v>
      </c>
      <c r="K45" s="17">
        <v>0.5</v>
      </c>
      <c r="L45" s="17">
        <v>0.5</v>
      </c>
      <c r="M45" s="17" t="str">
        <f t="shared" si="0"/>
        <v/>
      </c>
      <c r="N45" s="17">
        <f t="shared" si="1"/>
        <v>0.81</v>
      </c>
      <c r="O45" s="17">
        <f t="shared" si="2"/>
        <v>0.81</v>
      </c>
      <c r="P45" s="17"/>
    </row>
    <row r="46" spans="1:16" ht="15" customHeight="1" x14ac:dyDescent="0.25">
      <c r="A46" s="16" t="s">
        <v>146</v>
      </c>
      <c r="B46" s="84" t="s">
        <v>147</v>
      </c>
      <c r="C46" s="85"/>
      <c r="D46" s="85"/>
      <c r="E46" s="85"/>
      <c r="F46" s="86"/>
      <c r="G46" s="16"/>
      <c r="H46" s="17"/>
      <c r="I46" s="17"/>
      <c r="J46" s="17">
        <v>22.46</v>
      </c>
      <c r="K46" s="17">
        <v>0.5</v>
      </c>
      <c r="L46" s="17">
        <v>0.5</v>
      </c>
      <c r="M46" s="17" t="str">
        <f t="shared" si="0"/>
        <v/>
      </c>
      <c r="N46" s="17">
        <f t="shared" si="1"/>
        <v>5.62</v>
      </c>
      <c r="O46" s="17">
        <f t="shared" si="2"/>
        <v>5.62</v>
      </c>
      <c r="P46" s="17"/>
    </row>
    <row r="47" spans="1:16" ht="15" customHeight="1" x14ac:dyDescent="0.25">
      <c r="A47" s="3"/>
      <c r="B47" s="3"/>
      <c r="C47" s="3"/>
      <c r="D47" s="3"/>
      <c r="E47" s="3"/>
      <c r="F47" s="3"/>
      <c r="G47" s="3"/>
      <c r="H47" s="3"/>
      <c r="I47" s="3"/>
      <c r="J47" s="3"/>
      <c r="K47" s="3"/>
      <c r="L47" s="3"/>
      <c r="M47" s="3"/>
      <c r="N47" s="3"/>
      <c r="O47" s="3"/>
      <c r="P47" s="3"/>
    </row>
    <row r="48" spans="1:16" ht="30" customHeight="1" x14ac:dyDescent="0.25">
      <c r="A48" s="16" t="s">
        <v>47</v>
      </c>
      <c r="B48" s="16" t="s">
        <v>148</v>
      </c>
      <c r="C48" s="84" t="str">
        <f>VLOOKUP(B48,COMPOSICAO!B:K,2,FALSE)</f>
        <v>ALVENARIA DE EMBASAMENTO DE PEDRA ARGAMASSADA</v>
      </c>
      <c r="D48" s="85"/>
      <c r="E48" s="85"/>
      <c r="F48" s="86"/>
      <c r="G48" s="16" t="str">
        <f>VLOOKUP(B48,COMPOSICAO!B:K,6,FALSE)</f>
        <v>M3</v>
      </c>
      <c r="H48" s="16"/>
      <c r="I48" s="16"/>
      <c r="J48" s="16"/>
      <c r="K48" s="16"/>
      <c r="L48" s="16"/>
      <c r="M48" s="16"/>
      <c r="N48" s="16"/>
      <c r="O48" s="16"/>
      <c r="P48" s="17">
        <f>SUM(O48:O50)</f>
        <v>16.55</v>
      </c>
    </row>
    <row r="49" spans="1:16" ht="15" customHeight="1" x14ac:dyDescent="0.25">
      <c r="A49" s="16" t="s">
        <v>149</v>
      </c>
      <c r="B49" s="84" t="s">
        <v>150</v>
      </c>
      <c r="C49" s="85"/>
      <c r="D49" s="85"/>
      <c r="E49" s="85"/>
      <c r="F49" s="86"/>
      <c r="G49" s="16"/>
      <c r="H49" s="17"/>
      <c r="I49" s="17"/>
      <c r="J49" s="17"/>
      <c r="K49" s="17"/>
      <c r="L49" s="17"/>
      <c r="M49" s="17" t="str">
        <f>IF(COUNTA(J49:L49)=2,ROUND(PRODUCT(J49:L49),2),"")</f>
        <v/>
      </c>
      <c r="N49" s="17">
        <v>16.55</v>
      </c>
      <c r="O49" s="17">
        <f>IF(N49&lt;&gt;"",ROUND(PRODUCT(H49,I49,N49),2),IF(M49&lt;&gt;"",ROUND(PRODUCT(H49,I49,M49),2),ROUND(PRODUCT(H49:L49),2)))</f>
        <v>16.55</v>
      </c>
      <c r="P49" s="17"/>
    </row>
    <row r="50" spans="1:16" ht="15" customHeight="1" x14ac:dyDescent="0.25">
      <c r="A50" s="3"/>
      <c r="B50" s="3"/>
      <c r="C50" s="3"/>
      <c r="D50" s="3"/>
      <c r="E50" s="3"/>
      <c r="F50" s="3"/>
      <c r="G50" s="3"/>
      <c r="H50" s="3"/>
      <c r="I50" s="3"/>
      <c r="J50" s="3"/>
      <c r="K50" s="3"/>
      <c r="L50" s="3"/>
      <c r="M50" s="3"/>
      <c r="N50" s="3"/>
      <c r="O50" s="3"/>
      <c r="P50" s="3"/>
    </row>
    <row r="51" spans="1:16" ht="90" customHeight="1" x14ac:dyDescent="0.25">
      <c r="A51" s="16" t="s">
        <v>48</v>
      </c>
      <c r="B51" s="20">
        <v>87525</v>
      </c>
      <c r="C51" s="84" t="str">
        <f>VLOOKUP(B51,COMPOSICAO!B:K,2,FALSE)</f>
        <v>ALVENARIA DE VEDAÇÃO DE BLOCOS CERÂMICOS FURADOS NA HORIZONTAL DE 14X9X19CM (ESPESSURA 14CM, BLOCO DEITADO) DE PAREDES COM ÁREA LÍQUIDA MAIOR OU IGUAL A 6M² COM VÃOS E ARGAMASSA DE ASSENTAMENTO COM PREPARO EM BETONEIRA. AF_06/2014</v>
      </c>
      <c r="D51" s="85"/>
      <c r="E51" s="85"/>
      <c r="F51" s="86"/>
      <c r="G51" s="16" t="str">
        <f>VLOOKUP(B51,COMPOSICAO!B:K,6,FALSE)</f>
        <v>M2</v>
      </c>
      <c r="H51" s="16"/>
      <c r="I51" s="16"/>
      <c r="J51" s="16"/>
      <c r="K51" s="16"/>
      <c r="L51" s="16"/>
      <c r="M51" s="16"/>
      <c r="N51" s="16"/>
      <c r="O51" s="16"/>
      <c r="P51" s="17">
        <f>SUM(O51:O53)</f>
        <v>19.850000000000001</v>
      </c>
    </row>
    <row r="52" spans="1:16" ht="30" customHeight="1" x14ac:dyDescent="0.25">
      <c r="A52" s="16" t="s">
        <v>151</v>
      </c>
      <c r="B52" s="84" t="s">
        <v>152</v>
      </c>
      <c r="C52" s="85"/>
      <c r="D52" s="85"/>
      <c r="E52" s="85"/>
      <c r="F52" s="86"/>
      <c r="G52" s="16"/>
      <c r="H52" s="17"/>
      <c r="I52" s="17"/>
      <c r="J52" s="17">
        <v>66.17</v>
      </c>
      <c r="K52" s="17"/>
      <c r="L52" s="17">
        <v>0.3</v>
      </c>
      <c r="M52" s="17">
        <f>IF(COUNTA(J52:L52)=2,ROUND(PRODUCT(J52:L52),2),"")</f>
        <v>19.850000000000001</v>
      </c>
      <c r="N52" s="17" t="str">
        <f>IF(OR(COUNTA(J52:L52)=3,AND(COUNTA(J52:L52)=1,M52&lt;&gt;"")),ROUND(PRODUCT(J52:M52),2),"")</f>
        <v/>
      </c>
      <c r="O52" s="17">
        <f>IF(N52&lt;&gt;"",ROUND(PRODUCT(H52,I52,N52),2),IF(M52&lt;&gt;"",ROUND(PRODUCT(H52,I52,M52),2),ROUND(PRODUCT(H52:L52),2)))</f>
        <v>19.850000000000001</v>
      </c>
      <c r="P52" s="17"/>
    </row>
    <row r="53" spans="1:16" ht="15" customHeight="1" x14ac:dyDescent="0.25">
      <c r="A53" s="3"/>
      <c r="B53" s="3"/>
      <c r="C53" s="3"/>
      <c r="D53" s="3"/>
      <c r="E53" s="3"/>
      <c r="F53" s="3"/>
      <c r="G53" s="3"/>
      <c r="H53" s="3"/>
      <c r="I53" s="3"/>
      <c r="J53" s="3"/>
      <c r="K53" s="3"/>
      <c r="L53" s="3"/>
      <c r="M53" s="3"/>
      <c r="N53" s="3"/>
      <c r="O53" s="3"/>
      <c r="P53" s="3"/>
    </row>
    <row r="54" spans="1:16" ht="45" customHeight="1" x14ac:dyDescent="0.25">
      <c r="A54" s="16" t="s">
        <v>49</v>
      </c>
      <c r="B54" s="20">
        <v>94319</v>
      </c>
      <c r="C54" s="84" t="str">
        <f>VLOOKUP(B54,COMPOSICAO!B:K,2,FALSE)</f>
        <v>ATERRO MANUAL DE VALAS COM SOLO ARGILO-ARENOSO E COMPACTAÇÃO MECANIZADA. AF_05/2016</v>
      </c>
      <c r="D54" s="85"/>
      <c r="E54" s="85"/>
      <c r="F54" s="86"/>
      <c r="G54" s="16" t="str">
        <f>VLOOKUP(B54,COMPOSICAO!B:K,6,FALSE)</f>
        <v>M3</v>
      </c>
      <c r="H54" s="16"/>
      <c r="I54" s="16"/>
      <c r="J54" s="16"/>
      <c r="K54" s="16"/>
      <c r="L54" s="16"/>
      <c r="M54" s="16"/>
      <c r="N54" s="16"/>
      <c r="O54" s="16"/>
      <c r="P54" s="17">
        <f>SUM(O54:O58)</f>
        <v>95.699999999999989</v>
      </c>
    </row>
    <row r="55" spans="1:16" ht="15" customHeight="1" x14ac:dyDescent="0.25">
      <c r="A55" s="16" t="s">
        <v>153</v>
      </c>
      <c r="B55" s="84" t="s">
        <v>154</v>
      </c>
      <c r="C55" s="85"/>
      <c r="D55" s="85"/>
      <c r="E55" s="85"/>
      <c r="F55" s="86"/>
      <c r="G55" s="16"/>
      <c r="H55" s="17"/>
      <c r="I55" s="17"/>
      <c r="J55" s="17">
        <v>5.7</v>
      </c>
      <c r="K55" s="17">
        <v>16.350000000000001</v>
      </c>
      <c r="L55" s="17">
        <v>0.7</v>
      </c>
      <c r="M55" s="17" t="str">
        <f>IF(COUNTA(J55:L55)=2,ROUND(PRODUCT(J55:L55),2),"")</f>
        <v/>
      </c>
      <c r="N55" s="17">
        <f>IF(OR(COUNTA(J55:L55)=3,AND(COUNTA(J55:L55)=1,M55&lt;&gt;"")),ROUND(PRODUCT(J55:M55),2),"")</f>
        <v>65.239999999999995</v>
      </c>
      <c r="O55" s="17">
        <f>IF(N55&lt;&gt;"",ROUND(PRODUCT(H55,I55,N55),2),IF(M55&lt;&gt;"",ROUND(PRODUCT(H55,I55,M55),2),ROUND(PRODUCT(H55:L55),2)))</f>
        <v>65.239999999999995</v>
      </c>
      <c r="P55" s="17"/>
    </row>
    <row r="56" spans="1:16" ht="15" customHeight="1" x14ac:dyDescent="0.25">
      <c r="A56" s="16" t="s">
        <v>155</v>
      </c>
      <c r="B56" s="84" t="s">
        <v>156</v>
      </c>
      <c r="C56" s="85"/>
      <c r="D56" s="85"/>
      <c r="E56" s="85"/>
      <c r="F56" s="86"/>
      <c r="G56" s="16"/>
      <c r="H56" s="17"/>
      <c r="I56" s="17"/>
      <c r="J56" s="17">
        <v>5.7</v>
      </c>
      <c r="K56" s="17">
        <v>2.41</v>
      </c>
      <c r="L56" s="17">
        <v>1.3</v>
      </c>
      <c r="M56" s="17" t="str">
        <f>IF(COUNTA(J56:L56)=2,ROUND(PRODUCT(J56:L56),2),"")</f>
        <v/>
      </c>
      <c r="N56" s="17">
        <f>IF(OR(COUNTA(J56:L56)=3,AND(COUNTA(J56:L56)=1,M56&lt;&gt;"")),ROUND(PRODUCT(J56:M56),2),"")</f>
        <v>17.86</v>
      </c>
      <c r="O56" s="17">
        <f>IF(N56&lt;&gt;"",ROUND(PRODUCT(H56,I56,N56),2),IF(M56&lt;&gt;"",ROUND(PRODUCT(H56,I56,M56),2),ROUND(PRODUCT(H56:L56),2)))</f>
        <v>17.86</v>
      </c>
      <c r="P56" s="17"/>
    </row>
    <row r="57" spans="1:16" ht="15" customHeight="1" x14ac:dyDescent="0.25">
      <c r="A57" s="16" t="s">
        <v>157</v>
      </c>
      <c r="B57" s="84" t="s">
        <v>158</v>
      </c>
      <c r="C57" s="85"/>
      <c r="D57" s="85"/>
      <c r="E57" s="85"/>
      <c r="F57" s="86"/>
      <c r="G57" s="16"/>
      <c r="H57" s="17">
        <v>2</v>
      </c>
      <c r="I57" s="17"/>
      <c r="J57" s="17">
        <v>2.77</v>
      </c>
      <c r="K57" s="17">
        <v>3.25</v>
      </c>
      <c r="L57" s="17">
        <v>0.7</v>
      </c>
      <c r="M57" s="17" t="str">
        <f>IF(COUNTA(J57:L57)=2,ROUND(PRODUCT(J57:L57),2),"")</f>
        <v/>
      </c>
      <c r="N57" s="17">
        <f>IF(OR(COUNTA(J57:L57)=3,AND(COUNTA(J57:L57)=1,M57&lt;&gt;"")),ROUND(PRODUCT(J57:M57),2),"")</f>
        <v>6.3</v>
      </c>
      <c r="O57" s="17">
        <f>IF(N57&lt;&gt;"",ROUND(PRODUCT(H57,I57,N57),2),IF(M57&lt;&gt;"",ROUND(PRODUCT(H57,I57,M57),2),ROUND(PRODUCT(H57:L57),2)))</f>
        <v>12.6</v>
      </c>
      <c r="P57" s="17"/>
    </row>
    <row r="58" spans="1:16" ht="15" customHeight="1" x14ac:dyDescent="0.25">
      <c r="A58" s="3"/>
      <c r="B58" s="3"/>
      <c r="C58" s="3"/>
      <c r="D58" s="3"/>
      <c r="E58" s="3"/>
      <c r="F58" s="3"/>
      <c r="G58" s="3"/>
      <c r="H58" s="3"/>
      <c r="I58" s="3"/>
      <c r="J58" s="3"/>
      <c r="K58" s="3"/>
      <c r="L58" s="3"/>
      <c r="M58" s="3"/>
      <c r="N58" s="3"/>
      <c r="O58" s="3"/>
      <c r="P58" s="3"/>
    </row>
    <row r="59" spans="1:16" ht="15" customHeight="1" x14ac:dyDescent="0.25">
      <c r="A59" s="15">
        <v>4</v>
      </c>
      <c r="B59" s="87" t="s">
        <v>159</v>
      </c>
      <c r="C59" s="88"/>
      <c r="D59" s="88"/>
      <c r="E59" s="88"/>
      <c r="F59" s="88"/>
      <c r="G59" s="88"/>
      <c r="H59" s="88"/>
      <c r="I59" s="88"/>
      <c r="J59" s="88"/>
      <c r="K59" s="88"/>
      <c r="L59" s="88"/>
      <c r="M59" s="88"/>
      <c r="N59" s="88"/>
      <c r="O59" s="88"/>
      <c r="P59" s="89"/>
    </row>
    <row r="60" spans="1:16" ht="75" customHeight="1" x14ac:dyDescent="0.25">
      <c r="A60" s="16" t="s">
        <v>50</v>
      </c>
      <c r="B60" s="20">
        <v>95952</v>
      </c>
      <c r="C60" s="84" t="str">
        <f>VLOOKUP(B60,COMPOSICAO!B:K,2,FALSE)</f>
        <v>(COMPOSIÇÃO REPRESENTATIVA) EXECUÇÃO DE ESTRUTURAS DE CONCRETO ARMADO CONVENCIONAL, PARA EDIFICAÇÃO HABITACIONAL MULTIFAMILIAR (PRÉDIO), FCK = 25 MPA. AF_01/2017</v>
      </c>
      <c r="D60" s="85"/>
      <c r="E60" s="85"/>
      <c r="F60" s="86"/>
      <c r="G60" s="16" t="str">
        <f>VLOOKUP(B60,COMPOSICAO!B:K,6,FALSE)</f>
        <v>M3</v>
      </c>
      <c r="H60" s="16"/>
      <c r="I60" s="16"/>
      <c r="J60" s="16"/>
      <c r="K60" s="16"/>
      <c r="L60" s="16"/>
      <c r="M60" s="16"/>
      <c r="N60" s="16"/>
      <c r="O60" s="16"/>
      <c r="P60" s="17">
        <f>SUM(O60:O64)</f>
        <v>10.32</v>
      </c>
    </row>
    <row r="61" spans="1:16" ht="15" customHeight="1" x14ac:dyDescent="0.25">
      <c r="A61" s="16" t="s">
        <v>160</v>
      </c>
      <c r="B61" s="84" t="s">
        <v>161</v>
      </c>
      <c r="C61" s="85"/>
      <c r="D61" s="85"/>
      <c r="E61" s="85"/>
      <c r="F61" s="86"/>
      <c r="G61" s="16"/>
      <c r="H61" s="17"/>
      <c r="I61" s="17"/>
      <c r="J61" s="17">
        <v>62.02</v>
      </c>
      <c r="K61" s="17">
        <v>0.15</v>
      </c>
      <c r="L61" s="17">
        <v>0.4</v>
      </c>
      <c r="M61" s="17" t="str">
        <f>IF(COUNTA(J61:L61)=2,ROUND(PRODUCT(J61:L61),2),"")</f>
        <v/>
      </c>
      <c r="N61" s="17">
        <f>IF(OR(COUNTA(J61:L61)=3,AND(COUNTA(J61:L61)=1,M61&lt;&gt;"")),ROUND(PRODUCT(J61:M61),2),"")</f>
        <v>3.72</v>
      </c>
      <c r="O61" s="17">
        <f>IF(N61&lt;&gt;"",ROUND(PRODUCT(H61,I61,N61),2),IF(M61&lt;&gt;"",ROUND(PRODUCT(H61,I61,M61),2),ROUND(PRODUCT(H61:L61),2)))</f>
        <v>3.72</v>
      </c>
      <c r="P61" s="17"/>
    </row>
    <row r="62" spans="1:16" ht="15" customHeight="1" x14ac:dyDescent="0.25">
      <c r="A62" s="16" t="s">
        <v>162</v>
      </c>
      <c r="B62" s="84" t="s">
        <v>163</v>
      </c>
      <c r="C62" s="85"/>
      <c r="D62" s="85"/>
      <c r="E62" s="85"/>
      <c r="F62" s="86"/>
      <c r="G62" s="16"/>
      <c r="H62" s="17"/>
      <c r="I62" s="17"/>
      <c r="J62" s="17">
        <v>62.02</v>
      </c>
      <c r="K62" s="17">
        <v>0.15</v>
      </c>
      <c r="L62" s="17">
        <v>0.4</v>
      </c>
      <c r="M62" s="17" t="str">
        <f>IF(COUNTA(J62:L62)=2,ROUND(PRODUCT(J62:L62),2),"")</f>
        <v/>
      </c>
      <c r="N62" s="17">
        <f>IF(OR(COUNTA(J62:L62)=3,AND(COUNTA(J62:L62)=1,M62&lt;&gt;"")),ROUND(PRODUCT(J62:M62),2),"")</f>
        <v>3.72</v>
      </c>
      <c r="O62" s="17">
        <f>IF(N62&lt;&gt;"",ROUND(PRODUCT(H62,I62,N62),2),IF(M62&lt;&gt;"",ROUND(PRODUCT(H62,I62,M62),2),ROUND(PRODUCT(H62:L62),2)))</f>
        <v>3.72</v>
      </c>
      <c r="P62" s="17"/>
    </row>
    <row r="63" spans="1:16" ht="15" customHeight="1" x14ac:dyDescent="0.25">
      <c r="A63" s="16" t="s">
        <v>164</v>
      </c>
      <c r="B63" s="84" t="s">
        <v>165</v>
      </c>
      <c r="C63" s="85"/>
      <c r="D63" s="85"/>
      <c r="E63" s="85"/>
      <c r="F63" s="86"/>
      <c r="G63" s="16"/>
      <c r="H63" s="17">
        <v>18</v>
      </c>
      <c r="I63" s="17"/>
      <c r="J63" s="17">
        <v>0.15</v>
      </c>
      <c r="K63" s="17">
        <v>0.3</v>
      </c>
      <c r="L63" s="17">
        <v>3.5</v>
      </c>
      <c r="M63" s="17" t="str">
        <f>IF(COUNTA(J63:L63)=2,ROUND(PRODUCT(J63:L63),2),"")</f>
        <v/>
      </c>
      <c r="N63" s="17">
        <f>IF(OR(COUNTA(J63:L63)=3,AND(COUNTA(J63:L63)=1,M63&lt;&gt;"")),ROUND(PRODUCT(J63:M63),2),"")</f>
        <v>0.16</v>
      </c>
      <c r="O63" s="17">
        <f>IF(N63&lt;&gt;"",ROUND(PRODUCT(H63,I63,N63),2),IF(M63&lt;&gt;"",ROUND(PRODUCT(H63,I63,M63),2),ROUND(PRODUCT(H63:L63),2)))</f>
        <v>2.88</v>
      </c>
      <c r="P63" s="17"/>
    </row>
    <row r="64" spans="1:16" ht="15" customHeight="1" x14ac:dyDescent="0.25">
      <c r="A64" s="3"/>
      <c r="B64" s="3"/>
      <c r="C64" s="3"/>
      <c r="D64" s="3"/>
      <c r="E64" s="3"/>
      <c r="F64" s="3"/>
      <c r="G64" s="3"/>
      <c r="H64" s="3"/>
      <c r="I64" s="3"/>
      <c r="J64" s="3"/>
      <c r="K64" s="3"/>
      <c r="L64" s="3"/>
      <c r="M64" s="3"/>
      <c r="N64" s="3"/>
      <c r="O64" s="3"/>
      <c r="P64" s="3"/>
    </row>
    <row r="65" spans="1:16" ht="30" customHeight="1" x14ac:dyDescent="0.25">
      <c r="A65" s="16" t="s">
        <v>51</v>
      </c>
      <c r="B65" s="20">
        <v>98557</v>
      </c>
      <c r="C65" s="84" t="str">
        <f>VLOOKUP(B65,COMPOSICAO!B:K,2,FALSE)</f>
        <v>IMPERMEABILIZAÇÃO DE SUPERFÍCIE COM EMULSÃO ASFÁLTICA, 2 DEMÃOS AF_06/2018</v>
      </c>
      <c r="D65" s="85"/>
      <c r="E65" s="85"/>
      <c r="F65" s="86"/>
      <c r="G65" s="16" t="str">
        <f>VLOOKUP(B65,COMPOSICAO!B:K,6,FALSE)</f>
        <v>M2</v>
      </c>
      <c r="H65" s="16"/>
      <c r="I65" s="16"/>
      <c r="J65" s="16"/>
      <c r="K65" s="16"/>
      <c r="L65" s="16"/>
      <c r="M65" s="16"/>
      <c r="N65" s="16"/>
      <c r="O65" s="16"/>
      <c r="P65" s="17">
        <f>SUM(O65:O68)</f>
        <v>102.33</v>
      </c>
    </row>
    <row r="66" spans="1:16" ht="15" customHeight="1" x14ac:dyDescent="0.25">
      <c r="A66" s="16" t="s">
        <v>166</v>
      </c>
      <c r="B66" s="84" t="s">
        <v>167</v>
      </c>
      <c r="C66" s="85"/>
      <c r="D66" s="85"/>
      <c r="E66" s="85"/>
      <c r="F66" s="86"/>
      <c r="G66" s="16"/>
      <c r="H66" s="17"/>
      <c r="I66" s="17"/>
      <c r="J66" s="17">
        <v>62.02</v>
      </c>
      <c r="K66" s="17">
        <v>0.95</v>
      </c>
      <c r="L66" s="17"/>
      <c r="M66" s="17">
        <f>IF(COUNTA(J66:L66)=2,ROUND(PRODUCT(J66:L66),2),"")</f>
        <v>58.92</v>
      </c>
      <c r="N66" s="17" t="str">
        <f>IF(OR(COUNTA(J66:L66)=3,AND(COUNTA(J66:L66)=1,M66&lt;&gt;"")),ROUND(PRODUCT(J66:M66),2),"")</f>
        <v/>
      </c>
      <c r="O66" s="17">
        <f>IF(N66&lt;&gt;"",ROUND(PRODUCT(H66,I66,N66),2),IF(M66&lt;&gt;"",ROUND(PRODUCT(H66,I66,M66),2),ROUND(PRODUCT(H66:L66),2)))</f>
        <v>58.92</v>
      </c>
      <c r="P66" s="17"/>
    </row>
    <row r="67" spans="1:16" ht="15" customHeight="1" x14ac:dyDescent="0.25">
      <c r="A67" s="16" t="s">
        <v>168</v>
      </c>
      <c r="B67" s="84" t="s">
        <v>169</v>
      </c>
      <c r="C67" s="85"/>
      <c r="D67" s="85"/>
      <c r="E67" s="85"/>
      <c r="F67" s="86"/>
      <c r="G67" s="16"/>
      <c r="H67" s="17"/>
      <c r="I67" s="17"/>
      <c r="J67" s="17">
        <v>62.02</v>
      </c>
      <c r="K67" s="17">
        <v>0.7</v>
      </c>
      <c r="L67" s="17"/>
      <c r="M67" s="17">
        <f>IF(COUNTA(J67:L67)=2,ROUND(PRODUCT(J67:L67),2),"")</f>
        <v>43.41</v>
      </c>
      <c r="N67" s="17" t="str">
        <f>IF(OR(COUNTA(J67:L67)=3,AND(COUNTA(J67:L67)=1,M67&lt;&gt;"")),ROUND(PRODUCT(J67:M67),2),"")</f>
        <v/>
      </c>
      <c r="O67" s="17">
        <f>IF(N67&lt;&gt;"",ROUND(PRODUCT(H67,I67,N67),2),IF(M67&lt;&gt;"",ROUND(PRODUCT(H67,I67,M67),2),ROUND(PRODUCT(H67:L67),2)))</f>
        <v>43.41</v>
      </c>
      <c r="P67" s="17"/>
    </row>
    <row r="68" spans="1:16" ht="15" customHeight="1" x14ac:dyDescent="0.25">
      <c r="A68" s="3"/>
      <c r="B68" s="3"/>
      <c r="C68" s="3"/>
      <c r="D68" s="3"/>
      <c r="E68" s="3"/>
      <c r="F68" s="3"/>
      <c r="G68" s="3"/>
      <c r="H68" s="3"/>
      <c r="I68" s="3"/>
      <c r="J68" s="3"/>
      <c r="K68" s="3"/>
      <c r="L68" s="3"/>
      <c r="M68" s="3"/>
      <c r="N68" s="3"/>
      <c r="O68" s="3"/>
      <c r="P68" s="3"/>
    </row>
    <row r="69" spans="1:16" ht="15" customHeight="1" x14ac:dyDescent="0.25">
      <c r="A69" s="15">
        <v>5</v>
      </c>
      <c r="B69" s="87" t="s">
        <v>170</v>
      </c>
      <c r="C69" s="88"/>
      <c r="D69" s="88"/>
      <c r="E69" s="88"/>
      <c r="F69" s="88"/>
      <c r="G69" s="88"/>
      <c r="H69" s="88"/>
      <c r="I69" s="88"/>
      <c r="J69" s="88"/>
      <c r="K69" s="88"/>
      <c r="L69" s="88"/>
      <c r="M69" s="88"/>
      <c r="N69" s="88"/>
      <c r="O69" s="88"/>
      <c r="P69" s="89"/>
    </row>
    <row r="70" spans="1:16" ht="60" customHeight="1" x14ac:dyDescent="0.25">
      <c r="A70" s="16" t="s">
        <v>52</v>
      </c>
      <c r="B70" s="20">
        <v>92550</v>
      </c>
      <c r="C70" s="84" t="str">
        <f>VLOOKUP(B70,COMPOSICAO!B:K,2,FALSE)</f>
        <v>FABRICAÇÃO E INSTALAÇÃO DE TESOURA INTEIRA EM MADEIRA NÃO APARELHADA, VÃO DE 8 M, PARA TELHA CERÂMICA OU DE CONCRETO, INCLUSO IÇAMENTO. AF_07/2019</v>
      </c>
      <c r="D70" s="85"/>
      <c r="E70" s="85"/>
      <c r="F70" s="86"/>
      <c r="G70" s="16" t="str">
        <f>VLOOKUP(B70,COMPOSICAO!B:K,6,FALSE)</f>
        <v>UN</v>
      </c>
      <c r="H70" s="16"/>
      <c r="I70" s="16"/>
      <c r="J70" s="16"/>
      <c r="K70" s="16"/>
      <c r="L70" s="16"/>
      <c r="M70" s="16"/>
      <c r="N70" s="16"/>
      <c r="O70" s="16"/>
      <c r="P70" s="17">
        <f>SUM(O70:O72)</f>
        <v>8</v>
      </c>
    </row>
    <row r="71" spans="1:16" ht="15" customHeight="1" x14ac:dyDescent="0.25">
      <c r="A71" s="16" t="s">
        <v>171</v>
      </c>
      <c r="B71" s="84" t="s">
        <v>11</v>
      </c>
      <c r="C71" s="85"/>
      <c r="D71" s="85"/>
      <c r="E71" s="85"/>
      <c r="F71" s="86"/>
      <c r="G71" s="16"/>
      <c r="H71" s="17">
        <v>8</v>
      </c>
      <c r="I71" s="17"/>
      <c r="J71" s="17"/>
      <c r="K71" s="17"/>
      <c r="L71" s="17"/>
      <c r="M71" s="17" t="str">
        <f>IF(COUNTA(J71:L71)=2,ROUND(PRODUCT(J71:L71),2),"")</f>
        <v/>
      </c>
      <c r="N71" s="17" t="str">
        <f>IF(OR(COUNTA(J71:L71)=3,AND(COUNTA(J71:L71)=1,M71&lt;&gt;"")),ROUND(PRODUCT(J71:M71),2),"")</f>
        <v/>
      </c>
      <c r="O71" s="17">
        <f>IF(N71&lt;&gt;"",ROUND(PRODUCT(H71,I71,N71),2),IF(M71&lt;&gt;"",ROUND(PRODUCT(H71,I71,M71),2),ROUND(PRODUCT(H71:L71),2)))</f>
        <v>8</v>
      </c>
      <c r="P71" s="17"/>
    </row>
    <row r="72" spans="1:16" ht="15" customHeight="1" x14ac:dyDescent="0.25">
      <c r="A72" s="3"/>
      <c r="B72" s="3"/>
      <c r="C72" s="3"/>
      <c r="D72" s="3"/>
      <c r="E72" s="3"/>
      <c r="F72" s="3"/>
      <c r="G72" s="3"/>
      <c r="H72" s="3"/>
      <c r="I72" s="3"/>
      <c r="J72" s="3"/>
      <c r="K72" s="3"/>
      <c r="L72" s="3"/>
      <c r="M72" s="3"/>
      <c r="N72" s="3"/>
      <c r="O72" s="3"/>
      <c r="P72" s="3"/>
    </row>
    <row r="73" spans="1:16" ht="60" customHeight="1" x14ac:dyDescent="0.25">
      <c r="A73" s="16" t="s">
        <v>53</v>
      </c>
      <c r="B73" s="20">
        <v>92541</v>
      </c>
      <c r="C73" s="84" t="str">
        <f>VLOOKUP(B73,COMPOSICAO!B:K,2,FALSE)</f>
        <v>TRAMA DE MADEIRA COMPOSTA POR RIPAS, CAIBROS E TERÇAS PARA TELHADOS DE ATÉ 2 ÁGUAS PARA TELHA CERÂMICA CAPA-CANAL, INCLUSO TRANSPORTE VERTICAL. AF_07/2019</v>
      </c>
      <c r="D73" s="85"/>
      <c r="E73" s="85"/>
      <c r="F73" s="86"/>
      <c r="G73" s="16" t="str">
        <f>VLOOKUP(B73,COMPOSICAO!B:K,6,FALSE)</f>
        <v>M2</v>
      </c>
      <c r="H73" s="16"/>
      <c r="I73" s="16"/>
      <c r="J73" s="16"/>
      <c r="K73" s="16"/>
      <c r="L73" s="16"/>
      <c r="M73" s="16"/>
      <c r="N73" s="16"/>
      <c r="O73" s="16"/>
      <c r="P73" s="17">
        <f>SUM(O73:O75)</f>
        <v>176.56</v>
      </c>
    </row>
    <row r="74" spans="1:16" ht="15" customHeight="1" x14ac:dyDescent="0.25">
      <c r="A74" s="16" t="s">
        <v>172</v>
      </c>
      <c r="B74" s="84" t="s">
        <v>11</v>
      </c>
      <c r="C74" s="85"/>
      <c r="D74" s="85"/>
      <c r="E74" s="85"/>
      <c r="F74" s="86"/>
      <c r="G74" s="16"/>
      <c r="H74" s="17"/>
      <c r="I74" s="17"/>
      <c r="J74" s="17">
        <v>7.4</v>
      </c>
      <c r="K74" s="17">
        <v>23.86</v>
      </c>
      <c r="L74" s="17"/>
      <c r="M74" s="17">
        <f>IF(COUNTA(J74:L74)=2,ROUND(PRODUCT(J74:L74),2),"")</f>
        <v>176.56</v>
      </c>
      <c r="N74" s="17" t="str">
        <f>IF(OR(COUNTA(J74:L74)=3,AND(COUNTA(J74:L74)=1,M74&lt;&gt;"")),ROUND(PRODUCT(J74:M74),2),"")</f>
        <v/>
      </c>
      <c r="O74" s="17">
        <f>IF(N74&lt;&gt;"",ROUND(PRODUCT(H74,I74,N74),2),IF(M74&lt;&gt;"",ROUND(PRODUCT(H74,I74,M74),2),ROUND(PRODUCT(H74:L74),2)))</f>
        <v>176.56</v>
      </c>
      <c r="P74" s="17"/>
    </row>
    <row r="75" spans="1:16" ht="15" customHeight="1" x14ac:dyDescent="0.25">
      <c r="A75" s="3"/>
      <c r="B75" s="3"/>
      <c r="C75" s="3"/>
      <c r="D75" s="3"/>
      <c r="E75" s="3"/>
      <c r="F75" s="3"/>
      <c r="G75" s="3"/>
      <c r="H75" s="3"/>
      <c r="I75" s="3"/>
      <c r="J75" s="3"/>
      <c r="K75" s="3"/>
      <c r="L75" s="3"/>
      <c r="M75" s="3"/>
      <c r="N75" s="3"/>
      <c r="O75" s="3"/>
      <c r="P75" s="3"/>
    </row>
    <row r="76" spans="1:16" ht="45" customHeight="1" x14ac:dyDescent="0.25">
      <c r="A76" s="16" t="s">
        <v>54</v>
      </c>
      <c r="B76" s="20">
        <v>94204</v>
      </c>
      <c r="C76" s="84" t="str">
        <f>VLOOKUP(B76,COMPOSICAO!B:K,2,FALSE)</f>
        <v>TELHAMENTO COM TELHA CERÂMICA CAPA-CANAL, TIPO COLONIAL, COM MAIS DE 2 ÁGUAS, INCLUSO TRANSPORTE VERTICAL. AF_07/2019</v>
      </c>
      <c r="D76" s="85"/>
      <c r="E76" s="85"/>
      <c r="F76" s="86"/>
      <c r="G76" s="16" t="str">
        <f>VLOOKUP(B76,COMPOSICAO!B:K,6,FALSE)</f>
        <v>M2</v>
      </c>
      <c r="H76" s="16"/>
      <c r="I76" s="16"/>
      <c r="J76" s="16"/>
      <c r="K76" s="16"/>
      <c r="L76" s="16"/>
      <c r="M76" s="16"/>
      <c r="N76" s="16"/>
      <c r="O76" s="16"/>
      <c r="P76" s="17">
        <f>SUM(O76:O78)</f>
        <v>181.34</v>
      </c>
    </row>
    <row r="77" spans="1:16" ht="15" customHeight="1" x14ac:dyDescent="0.25">
      <c r="A77" s="16" t="s">
        <v>173</v>
      </c>
      <c r="B77" s="84" t="s">
        <v>11</v>
      </c>
      <c r="C77" s="85"/>
      <c r="D77" s="85"/>
      <c r="E77" s="85"/>
      <c r="F77" s="86"/>
      <c r="G77" s="16"/>
      <c r="H77" s="17"/>
      <c r="I77" s="17"/>
      <c r="J77" s="17">
        <v>7.6</v>
      </c>
      <c r="K77" s="17">
        <v>23.86</v>
      </c>
      <c r="L77" s="17"/>
      <c r="M77" s="17">
        <f>IF(COUNTA(J77:L77)=2,ROUND(PRODUCT(J77:L77),2),"")</f>
        <v>181.34</v>
      </c>
      <c r="N77" s="17" t="str">
        <f>IF(OR(COUNTA(J77:L77)=3,AND(COUNTA(J77:L77)=1,M77&lt;&gt;"")),ROUND(PRODUCT(J77:M77),2),"")</f>
        <v/>
      </c>
      <c r="O77" s="17">
        <f>IF(N77&lt;&gt;"",ROUND(PRODUCT(H77,I77,N77),2),IF(M77&lt;&gt;"",ROUND(PRODUCT(H77,I77,M77),2),ROUND(PRODUCT(H77:L77),2)))</f>
        <v>181.34</v>
      </c>
      <c r="P77" s="17"/>
    </row>
    <row r="78" spans="1:16" ht="15" customHeight="1" x14ac:dyDescent="0.25">
      <c r="A78" s="3"/>
      <c r="B78" s="3"/>
      <c r="C78" s="3"/>
      <c r="D78" s="3"/>
      <c r="E78" s="3"/>
      <c r="F78" s="3"/>
      <c r="G78" s="3"/>
      <c r="H78" s="3"/>
      <c r="I78" s="3"/>
      <c r="J78" s="3"/>
      <c r="K78" s="3"/>
      <c r="L78" s="3"/>
      <c r="M78" s="3"/>
      <c r="N78" s="3"/>
      <c r="O78" s="3"/>
      <c r="P78" s="3"/>
    </row>
    <row r="79" spans="1:16" ht="15" customHeight="1" x14ac:dyDescent="0.25">
      <c r="A79" s="15">
        <v>6</v>
      </c>
      <c r="B79" s="87" t="s">
        <v>174</v>
      </c>
      <c r="C79" s="88"/>
      <c r="D79" s="88"/>
      <c r="E79" s="88"/>
      <c r="F79" s="88"/>
      <c r="G79" s="88"/>
      <c r="H79" s="88"/>
      <c r="I79" s="88"/>
      <c r="J79" s="88"/>
      <c r="K79" s="88"/>
      <c r="L79" s="88"/>
      <c r="M79" s="88"/>
      <c r="N79" s="88"/>
      <c r="O79" s="88"/>
      <c r="P79" s="89"/>
    </row>
    <row r="80" spans="1:16" ht="90" customHeight="1" x14ac:dyDescent="0.25">
      <c r="A80" s="16" t="s">
        <v>55</v>
      </c>
      <c r="B80" s="20">
        <v>87523</v>
      </c>
      <c r="C80" s="84" t="str">
        <f>VLOOKUP(B80,COMPOSICAO!B:K,2,FALSE)</f>
        <v>ALVENARIA DE VEDAÇÃO DE BLOCOS CERÂMICOS FURADOS NA HORIZONTAL DE 9X14X19CM (ESPESSURA 9CM) DE PAREDES COM ÁREA LÍQUIDA MAIOR OU IGUAL A 6M² COM VÃOS E ARGAMASSA DE ASSENTAMENTO COM PREPARO EM BETONEIRA. AF_06/2014</v>
      </c>
      <c r="D80" s="85"/>
      <c r="E80" s="85"/>
      <c r="F80" s="86"/>
      <c r="G80" s="16" t="str">
        <f>VLOOKUP(B80,COMPOSICAO!B:K,6,FALSE)</f>
        <v>M2</v>
      </c>
      <c r="H80" s="16"/>
      <c r="I80" s="16"/>
      <c r="J80" s="16"/>
      <c r="K80" s="16"/>
      <c r="L80" s="16"/>
      <c r="M80" s="16"/>
      <c r="N80" s="16"/>
      <c r="O80" s="16"/>
      <c r="P80" s="17">
        <f>SUM(O80:O82)</f>
        <v>186.06</v>
      </c>
    </row>
    <row r="81" spans="1:16" ht="15" customHeight="1" x14ac:dyDescent="0.25">
      <c r="A81" s="16" t="s">
        <v>175</v>
      </c>
      <c r="B81" s="84" t="s">
        <v>176</v>
      </c>
      <c r="C81" s="85"/>
      <c r="D81" s="85"/>
      <c r="E81" s="85"/>
      <c r="F81" s="86"/>
      <c r="G81" s="16"/>
      <c r="H81" s="17"/>
      <c r="I81" s="17"/>
      <c r="J81" s="17">
        <v>62.02</v>
      </c>
      <c r="K81" s="17"/>
      <c r="L81" s="17">
        <v>3</v>
      </c>
      <c r="M81" s="17">
        <f>IF(COUNTA(J81:L81)=2,ROUND(PRODUCT(J81:L81),2),"")</f>
        <v>186.06</v>
      </c>
      <c r="N81" s="17" t="str">
        <f>IF(OR(COUNTA(J81:L81)=3,AND(COUNTA(J81:L81)=1,M81&lt;&gt;"")),ROUND(PRODUCT(J81:M81),2),"")</f>
        <v/>
      </c>
      <c r="O81" s="17">
        <f>IF(N81&lt;&gt;"",ROUND(PRODUCT(H81,I81,N81),2),IF(M81&lt;&gt;"",ROUND(PRODUCT(H81,I81,M81),2),ROUND(PRODUCT(H81:L81),2)))</f>
        <v>186.06</v>
      </c>
      <c r="P81" s="17"/>
    </row>
    <row r="82" spans="1:16" ht="15" customHeight="1" x14ac:dyDescent="0.25">
      <c r="A82" s="3"/>
      <c r="B82" s="3"/>
      <c r="C82" s="3"/>
      <c r="D82" s="3"/>
      <c r="E82" s="3"/>
      <c r="F82" s="3"/>
      <c r="G82" s="3"/>
      <c r="H82" s="3"/>
      <c r="I82" s="3"/>
      <c r="J82" s="3"/>
      <c r="K82" s="3"/>
      <c r="L82" s="3"/>
      <c r="M82" s="3"/>
      <c r="N82" s="3"/>
      <c r="O82" s="3"/>
      <c r="P82" s="3"/>
    </row>
    <row r="83" spans="1:16" ht="75" customHeight="1" x14ac:dyDescent="0.25">
      <c r="A83" s="16" t="s">
        <v>56</v>
      </c>
      <c r="B83" s="20">
        <v>87905</v>
      </c>
      <c r="C83" s="84" t="str">
        <f>VLOOKUP(B83,COMPOSICAO!B:K,2,FALSE)</f>
        <v>CHAPISCO APLICADO EM ALVENARIA (COM PRESENÇA DE VÃOS) E ESTRUTURAS DE CONCRETO DE FACHADA, COM COLHER DE PEDREIRO.  ARGAMASSA TRAÇO 1:3 COM PREPARO EM BETONEIRA 400L. AF_06/2014</v>
      </c>
      <c r="D83" s="85"/>
      <c r="E83" s="85"/>
      <c r="F83" s="86"/>
      <c r="G83" s="16" t="str">
        <f>VLOOKUP(B83,COMPOSICAO!B:K,6,FALSE)</f>
        <v>M2</v>
      </c>
      <c r="H83" s="16"/>
      <c r="I83" s="16"/>
      <c r="J83" s="16"/>
      <c r="K83" s="16"/>
      <c r="L83" s="16"/>
      <c r="M83" s="16"/>
      <c r="N83" s="16"/>
      <c r="O83" s="16"/>
      <c r="P83" s="17">
        <f>SUM(O83:O85)</f>
        <v>372.12</v>
      </c>
    </row>
    <row r="84" spans="1:16" ht="15" customHeight="1" x14ac:dyDescent="0.25">
      <c r="A84" s="16" t="s">
        <v>177</v>
      </c>
      <c r="B84" s="84" t="s">
        <v>11</v>
      </c>
      <c r="C84" s="85"/>
      <c r="D84" s="85"/>
      <c r="E84" s="85"/>
      <c r="F84" s="86"/>
      <c r="G84" s="16"/>
      <c r="H84" s="17">
        <v>2</v>
      </c>
      <c r="I84" s="17"/>
      <c r="J84" s="17">
        <v>62.02</v>
      </c>
      <c r="K84" s="17"/>
      <c r="L84" s="17">
        <v>3</v>
      </c>
      <c r="M84" s="17">
        <f>IF(COUNTA(J84:L84)=2,ROUND(PRODUCT(J84:L84),2),"")</f>
        <v>186.06</v>
      </c>
      <c r="N84" s="17" t="str">
        <f>IF(OR(COUNTA(J84:L84)=3,AND(COUNTA(J84:L84)=1,M84&lt;&gt;"")),ROUND(PRODUCT(J84:M84),2),"")</f>
        <v/>
      </c>
      <c r="O84" s="17">
        <f>IF(N84&lt;&gt;"",ROUND(PRODUCT(H84,I84,N84),2),IF(M84&lt;&gt;"",ROUND(PRODUCT(H84,I84,M84),2),ROUND(PRODUCT(H84:L84),2)))</f>
        <v>372.12</v>
      </c>
      <c r="P84" s="17"/>
    </row>
    <row r="85" spans="1:16" ht="15" customHeight="1" x14ac:dyDescent="0.25">
      <c r="A85" s="3"/>
      <c r="B85" s="3"/>
      <c r="C85" s="3"/>
      <c r="D85" s="3"/>
      <c r="E85" s="3"/>
      <c r="F85" s="3"/>
      <c r="G85" s="3"/>
      <c r="H85" s="3"/>
      <c r="I85" s="3"/>
      <c r="J85" s="3"/>
      <c r="K85" s="3"/>
      <c r="L85" s="3"/>
      <c r="M85" s="3"/>
      <c r="N85" s="3"/>
      <c r="O85" s="3"/>
      <c r="P85" s="3"/>
    </row>
    <row r="86" spans="1:16" ht="75" customHeight="1" x14ac:dyDescent="0.25">
      <c r="A86" s="16" t="s">
        <v>57</v>
      </c>
      <c r="B86" s="20">
        <v>87530</v>
      </c>
      <c r="C86" s="84" t="str">
        <f>VLOOKUP(B86,COMPOSICAO!B:K,2,FALSE)</f>
        <v>MASSA ÚNICA, PARA RECEBIMENTO DE PINTURA, EM ARGAMASSA TRAÇO 1:2:8, PREPARO MANUAL, APLICADA MANUALMENTE EM FACES INTERNAS DE PAREDES, ESPESSURA DE 20MM, COM EXECUÇÃO DE TALISCAS. AF_06/2014</v>
      </c>
      <c r="D86" s="85"/>
      <c r="E86" s="85"/>
      <c r="F86" s="86"/>
      <c r="G86" s="16" t="str">
        <f>VLOOKUP(B86,COMPOSICAO!B:K,6,FALSE)</f>
        <v>M2</v>
      </c>
      <c r="H86" s="16"/>
      <c r="I86" s="16"/>
      <c r="J86" s="16"/>
      <c r="K86" s="16"/>
      <c r="L86" s="16"/>
      <c r="M86" s="16"/>
      <c r="N86" s="16"/>
      <c r="O86" s="16"/>
      <c r="P86" s="17">
        <f>SUM(O86:O88)</f>
        <v>372.12</v>
      </c>
    </row>
    <row r="87" spans="1:16" ht="15" customHeight="1" x14ac:dyDescent="0.25">
      <c r="A87" s="16" t="s">
        <v>178</v>
      </c>
      <c r="B87" s="84" t="s">
        <v>11</v>
      </c>
      <c r="C87" s="85"/>
      <c r="D87" s="85"/>
      <c r="E87" s="85"/>
      <c r="F87" s="86"/>
      <c r="G87" s="16"/>
      <c r="H87" s="17">
        <v>2</v>
      </c>
      <c r="I87" s="17"/>
      <c r="J87" s="17">
        <v>62.02</v>
      </c>
      <c r="K87" s="17"/>
      <c r="L87" s="17">
        <v>3</v>
      </c>
      <c r="M87" s="17">
        <f>IF(COUNTA(J87:L87)=2,ROUND(PRODUCT(J87:L87),2),"")</f>
        <v>186.06</v>
      </c>
      <c r="N87" s="17" t="str">
        <f>IF(OR(COUNTA(J87:L87)=3,AND(COUNTA(J87:L87)=1,M87&lt;&gt;"")),ROUND(PRODUCT(J87:M87),2),"")</f>
        <v/>
      </c>
      <c r="O87" s="17">
        <f>IF(N87&lt;&gt;"",ROUND(PRODUCT(H87,I87,N87),2),IF(M87&lt;&gt;"",ROUND(PRODUCT(H87,I87,M87),2),ROUND(PRODUCT(H87:L87),2)))</f>
        <v>372.12</v>
      </c>
      <c r="P87" s="17"/>
    </row>
    <row r="88" spans="1:16" ht="15" customHeight="1" x14ac:dyDescent="0.25">
      <c r="A88" s="3"/>
      <c r="B88" s="3"/>
      <c r="C88" s="3"/>
      <c r="D88" s="3"/>
      <c r="E88" s="3"/>
      <c r="F88" s="3"/>
      <c r="G88" s="3"/>
      <c r="H88" s="3"/>
      <c r="I88" s="3"/>
      <c r="J88" s="3"/>
      <c r="K88" s="3"/>
      <c r="L88" s="3"/>
      <c r="M88" s="3"/>
      <c r="N88" s="3"/>
      <c r="O88" s="3"/>
      <c r="P88" s="3"/>
    </row>
    <row r="89" spans="1:16" ht="90" customHeight="1" x14ac:dyDescent="0.25">
      <c r="A89" s="16" t="s">
        <v>58</v>
      </c>
      <c r="B89" s="20">
        <v>99198</v>
      </c>
      <c r="C89" s="84" t="str">
        <f>VLOOKUP(B89,COMPOSICAO!B:K,2,FALSE)</f>
        <v>REVESTIMENTO CERÂMICO PARA PAREDES INTERNAS COM PLACAS TIPO ESMALTADA PADRÃO POPULAR DE DIMENSÕES 20X20 CM, ARGAMASSA TIPO AC III, APLICADAS EM AMBIENTES DE ÁREA MAIOR QUE 5 M2 A MEIA ALTURA DAS PAREDES. AF_06/2014</v>
      </c>
      <c r="D89" s="85"/>
      <c r="E89" s="85"/>
      <c r="F89" s="86"/>
      <c r="G89" s="16" t="str">
        <f>VLOOKUP(B89,COMPOSICAO!B:K,6,FALSE)</f>
        <v>M2</v>
      </c>
      <c r="H89" s="16"/>
      <c r="I89" s="16"/>
      <c r="J89" s="16"/>
      <c r="K89" s="16"/>
      <c r="L89" s="16"/>
      <c r="M89" s="16"/>
      <c r="N89" s="16"/>
      <c r="O89" s="16"/>
      <c r="P89" s="17">
        <f>SUM(O89:O92)</f>
        <v>38.559999999999995</v>
      </c>
    </row>
    <row r="90" spans="1:16" ht="15" customHeight="1" x14ac:dyDescent="0.25">
      <c r="A90" s="16" t="s">
        <v>179</v>
      </c>
      <c r="B90" s="84" t="s">
        <v>180</v>
      </c>
      <c r="C90" s="85"/>
      <c r="D90" s="85"/>
      <c r="E90" s="85"/>
      <c r="F90" s="86"/>
      <c r="G90" s="16"/>
      <c r="H90" s="17">
        <v>2</v>
      </c>
      <c r="I90" s="17"/>
      <c r="J90" s="17">
        <v>12.05</v>
      </c>
      <c r="K90" s="17"/>
      <c r="L90" s="17">
        <v>1.5</v>
      </c>
      <c r="M90" s="17">
        <f>IF(COUNTA(J90:L90)=2,ROUND(PRODUCT(J90:L90),2),"")</f>
        <v>18.079999999999998</v>
      </c>
      <c r="N90" s="17" t="str">
        <f>IF(OR(COUNTA(J90:L90)=3,AND(COUNTA(J90:L90)=1,M90&lt;&gt;"")),ROUND(PRODUCT(J90:M90),2),"")</f>
        <v/>
      </c>
      <c r="O90" s="17">
        <f>IF(N90&lt;&gt;"",ROUND(PRODUCT(H90,I90,N90),2),IF(M90&lt;&gt;"",ROUND(PRODUCT(H90,I90,M90),2),ROUND(PRODUCT(H90:L90),2)))</f>
        <v>36.159999999999997</v>
      </c>
      <c r="P90" s="17"/>
    </row>
    <row r="91" spans="1:16" ht="15" customHeight="1" x14ac:dyDescent="0.25">
      <c r="A91" s="16" t="s">
        <v>181</v>
      </c>
      <c r="B91" s="84" t="s">
        <v>182</v>
      </c>
      <c r="C91" s="85"/>
      <c r="D91" s="85"/>
      <c r="E91" s="85"/>
      <c r="F91" s="86"/>
      <c r="G91" s="16"/>
      <c r="H91" s="17">
        <v>2</v>
      </c>
      <c r="I91" s="17"/>
      <c r="J91" s="17">
        <v>0.8</v>
      </c>
      <c r="K91" s="17"/>
      <c r="L91" s="17">
        <v>1.5</v>
      </c>
      <c r="M91" s="17">
        <f>IF(COUNTA(J91:L91)=2,ROUND(PRODUCT(J91:L91),2),"")</f>
        <v>1.2</v>
      </c>
      <c r="N91" s="17" t="str">
        <f>IF(OR(COUNTA(J91:L91)=3,AND(COUNTA(J91:L91)=1,M91&lt;&gt;"")),ROUND(PRODUCT(J91:M91),2),"")</f>
        <v/>
      </c>
      <c r="O91" s="17">
        <f>IF(N91&lt;&gt;"",ROUND(PRODUCT(H91,I91,N91),2),IF(M91&lt;&gt;"",ROUND(PRODUCT(H91,I91,M91),2),ROUND(PRODUCT(H91:L91),2)))</f>
        <v>2.4</v>
      </c>
      <c r="P91" s="17"/>
    </row>
    <row r="92" spans="1:16" ht="15" customHeight="1" x14ac:dyDescent="0.25">
      <c r="A92" s="3"/>
      <c r="B92" s="3"/>
      <c r="C92" s="3"/>
      <c r="D92" s="3"/>
      <c r="E92" s="3"/>
      <c r="F92" s="3"/>
      <c r="G92" s="3"/>
      <c r="H92" s="3"/>
      <c r="I92" s="3"/>
      <c r="J92" s="3"/>
      <c r="K92" s="3"/>
      <c r="L92" s="3"/>
      <c r="M92" s="3"/>
      <c r="N92" s="3"/>
      <c r="O92" s="3"/>
      <c r="P92" s="3"/>
    </row>
    <row r="93" spans="1:16" ht="90" customHeight="1" x14ac:dyDescent="0.25">
      <c r="A93" s="16" t="s">
        <v>59</v>
      </c>
      <c r="B93" s="20">
        <v>89171</v>
      </c>
      <c r="C93" s="84" t="str">
        <f>VLOOKUP(B93,COMPOSICAO!B:K,2,FALSE)</f>
        <v>(COMPOSIÇÃO REPRESENTATIVA) DO SERVIÇO DE REVESTIMENTO CERÂMICO PARA PISO COM PLACAS TIPO ESMALTADA EXTRA DE DIMENSÕES 35X35 CM, PARA EDIFICAÇÃO HABITACIONAL UNIFAMILIAR (CASA) E EDIFICAÇÃO PÚBLICA PADRÃO. AF_11/2014</v>
      </c>
      <c r="D93" s="85"/>
      <c r="E93" s="85"/>
      <c r="F93" s="86"/>
      <c r="G93" s="16" t="str">
        <f>VLOOKUP(B93,COMPOSICAO!B:K,6,FALSE)</f>
        <v>M2</v>
      </c>
      <c r="H93" s="16"/>
      <c r="I93" s="16"/>
      <c r="J93" s="16"/>
      <c r="K93" s="16"/>
      <c r="L93" s="16"/>
      <c r="M93" s="16"/>
      <c r="N93" s="16"/>
      <c r="O93" s="16"/>
      <c r="P93" s="17">
        <f>SUM(O93:O97)</f>
        <v>124.96999999999998</v>
      </c>
    </row>
    <row r="94" spans="1:16" ht="15" customHeight="1" x14ac:dyDescent="0.25">
      <c r="A94" s="16" t="s">
        <v>183</v>
      </c>
      <c r="B94" s="84" t="s">
        <v>184</v>
      </c>
      <c r="C94" s="85"/>
      <c r="D94" s="85"/>
      <c r="E94" s="85"/>
      <c r="F94" s="86"/>
      <c r="G94" s="16"/>
      <c r="H94" s="17"/>
      <c r="I94" s="17"/>
      <c r="J94" s="17"/>
      <c r="K94" s="17"/>
      <c r="L94" s="17"/>
      <c r="M94" s="17">
        <v>93.19</v>
      </c>
      <c r="N94" s="17" t="str">
        <f>IF(OR(COUNTA(J94:L94)=3,AND(COUNTA(J94:L94)=1,M94&lt;&gt;"")),ROUND(PRODUCT(J94:M94),2),"")</f>
        <v/>
      </c>
      <c r="O94" s="17">
        <f>IF(N94&lt;&gt;"",ROUND(PRODUCT(H94,I94,N94),2),IF(M94&lt;&gt;"",ROUND(PRODUCT(H94,I94,M94),2),ROUND(PRODUCT(H94:L94),2)))</f>
        <v>93.19</v>
      </c>
      <c r="P94" s="17"/>
    </row>
    <row r="95" spans="1:16" ht="15" customHeight="1" x14ac:dyDescent="0.25">
      <c r="A95" s="16" t="s">
        <v>185</v>
      </c>
      <c r="B95" s="84" t="s">
        <v>186</v>
      </c>
      <c r="C95" s="85"/>
      <c r="D95" s="85"/>
      <c r="E95" s="85"/>
      <c r="F95" s="86"/>
      <c r="G95" s="16"/>
      <c r="H95" s="17">
        <v>2</v>
      </c>
      <c r="I95" s="17"/>
      <c r="J95" s="17"/>
      <c r="K95" s="17"/>
      <c r="L95" s="17"/>
      <c r="M95" s="17">
        <v>9.02</v>
      </c>
      <c r="N95" s="17" t="str">
        <f>IF(OR(COUNTA(J95:L95)=3,AND(COUNTA(J95:L95)=1,M95&lt;&gt;"")),ROUND(PRODUCT(J95:M95),2),"")</f>
        <v/>
      </c>
      <c r="O95" s="17">
        <f>IF(N95&lt;&gt;"",ROUND(PRODUCT(H95,I95,N95),2),IF(M95&lt;&gt;"",ROUND(PRODUCT(H95,I95,M95),2),ROUND(PRODUCT(H95:L95),2)))</f>
        <v>18.04</v>
      </c>
      <c r="P95" s="17"/>
    </row>
    <row r="96" spans="1:16" ht="15" customHeight="1" x14ac:dyDescent="0.25">
      <c r="A96" s="16" t="s">
        <v>187</v>
      </c>
      <c r="B96" s="84" t="s">
        <v>188</v>
      </c>
      <c r="C96" s="85"/>
      <c r="D96" s="85"/>
      <c r="E96" s="85"/>
      <c r="F96" s="86"/>
      <c r="G96" s="16"/>
      <c r="H96" s="17"/>
      <c r="I96" s="17"/>
      <c r="J96" s="17"/>
      <c r="K96" s="17"/>
      <c r="L96" s="17"/>
      <c r="M96" s="17">
        <v>13.74</v>
      </c>
      <c r="N96" s="17" t="str">
        <f>IF(OR(COUNTA(J96:L96)=3,AND(COUNTA(J96:L96)=1,M96&lt;&gt;"")),ROUND(PRODUCT(J96:M96),2),"")</f>
        <v/>
      </c>
      <c r="O96" s="17">
        <f>IF(N96&lt;&gt;"",ROUND(PRODUCT(H96,I96,N96),2),IF(M96&lt;&gt;"",ROUND(PRODUCT(H96,I96,M96),2),ROUND(PRODUCT(H96:L96),2)))</f>
        <v>13.74</v>
      </c>
      <c r="P96" s="17"/>
    </row>
    <row r="97" spans="1:16" ht="15" customHeight="1" x14ac:dyDescent="0.25">
      <c r="A97" s="3"/>
      <c r="B97" s="3"/>
      <c r="C97" s="3"/>
      <c r="D97" s="3"/>
      <c r="E97" s="3"/>
      <c r="F97" s="3"/>
      <c r="G97" s="3"/>
      <c r="H97" s="3"/>
      <c r="I97" s="3"/>
      <c r="J97" s="3"/>
      <c r="K97" s="3"/>
      <c r="L97" s="3"/>
      <c r="M97" s="3"/>
      <c r="N97" s="3"/>
      <c r="O97" s="3"/>
      <c r="P97" s="3"/>
    </row>
    <row r="98" spans="1:16" ht="45" customHeight="1" x14ac:dyDescent="0.25">
      <c r="A98" s="16" t="s">
        <v>60</v>
      </c>
      <c r="B98" s="20">
        <v>96116</v>
      </c>
      <c r="C98" s="84" t="str">
        <f>VLOOKUP(B98,COMPOSICAO!B:K,2,FALSE)</f>
        <v>FORRO EM RÉGUAS DE PVC, FRISADO, PARA AMBIENTES COMERCIAIS, INCLUSIVE ESTRUTURA DE FIXAÇÃO. AF_05/2017_P</v>
      </c>
      <c r="D98" s="85"/>
      <c r="E98" s="85"/>
      <c r="F98" s="86"/>
      <c r="G98" s="16" t="str">
        <f>VLOOKUP(B98,COMPOSICAO!B:K,6,FALSE)</f>
        <v>M2</v>
      </c>
      <c r="H98" s="16"/>
      <c r="I98" s="16"/>
      <c r="J98" s="16"/>
      <c r="K98" s="16"/>
      <c r="L98" s="16"/>
      <c r="M98" s="16"/>
      <c r="N98" s="16"/>
      <c r="O98" s="16"/>
      <c r="P98" s="17">
        <f>SUM(O98:O100)</f>
        <v>124.97</v>
      </c>
    </row>
    <row r="99" spans="1:16" ht="15" customHeight="1" x14ac:dyDescent="0.25">
      <c r="A99" s="16" t="s">
        <v>189</v>
      </c>
      <c r="B99" s="84" t="s">
        <v>190</v>
      </c>
      <c r="C99" s="85"/>
      <c r="D99" s="85"/>
      <c r="E99" s="85"/>
      <c r="F99" s="86"/>
      <c r="G99" s="16"/>
      <c r="H99" s="17"/>
      <c r="I99" s="17"/>
      <c r="J99" s="17"/>
      <c r="K99" s="17"/>
      <c r="L99" s="17"/>
      <c r="M99" s="17">
        <v>124.97</v>
      </c>
      <c r="N99" s="17" t="str">
        <f>IF(OR(COUNTA(J99:L99)=3,AND(COUNTA(J99:L99)=1,M99&lt;&gt;"")),ROUND(PRODUCT(J99:M99),2),"")</f>
        <v/>
      </c>
      <c r="O99" s="17">
        <f>IF(N99&lt;&gt;"",ROUND(PRODUCT(H99,I99,N99),2),IF(M99&lt;&gt;"",ROUND(PRODUCT(H99,I99,M99),2),ROUND(PRODUCT(H99:L99),2)))</f>
        <v>124.97</v>
      </c>
      <c r="P99" s="17"/>
    </row>
    <row r="100" spans="1:16" ht="15" customHeight="1" x14ac:dyDescent="0.25">
      <c r="A100" s="3"/>
      <c r="B100" s="3"/>
      <c r="C100" s="3"/>
      <c r="D100" s="3"/>
      <c r="E100" s="3"/>
      <c r="F100" s="3"/>
      <c r="G100" s="3"/>
      <c r="H100" s="3"/>
      <c r="I100" s="3"/>
      <c r="J100" s="3"/>
      <c r="K100" s="3"/>
      <c r="L100" s="3"/>
      <c r="M100" s="3"/>
      <c r="N100" s="3"/>
      <c r="O100" s="3"/>
      <c r="P100" s="3"/>
    </row>
    <row r="101" spans="1:16" ht="30" customHeight="1" x14ac:dyDescent="0.25">
      <c r="A101" s="16" t="s">
        <v>61</v>
      </c>
      <c r="B101" s="20">
        <v>98689</v>
      </c>
      <c r="C101" s="84" t="str">
        <f>VLOOKUP(B101,COMPOSICAO!B:K,2,FALSE)</f>
        <v>SOLEIRA EM GRANITO, LARGURA 15 CM, ESPESSURA 2,0 CM. AF_09/2020</v>
      </c>
      <c r="D101" s="85"/>
      <c r="E101" s="85"/>
      <c r="F101" s="86"/>
      <c r="G101" s="16" t="str">
        <f>VLOOKUP(B101,COMPOSICAO!B:K,6,FALSE)</f>
        <v>M</v>
      </c>
      <c r="H101" s="16"/>
      <c r="I101" s="16"/>
      <c r="J101" s="16"/>
      <c r="K101" s="16"/>
      <c r="L101" s="16"/>
      <c r="M101" s="16"/>
      <c r="N101" s="16"/>
      <c r="O101" s="16"/>
      <c r="P101" s="17">
        <f>SUM(O101:O104)</f>
        <v>5.12</v>
      </c>
    </row>
    <row r="102" spans="1:16" ht="15" customHeight="1" x14ac:dyDescent="0.25">
      <c r="A102" s="16" t="s">
        <v>191</v>
      </c>
      <c r="B102" s="84" t="s">
        <v>192</v>
      </c>
      <c r="C102" s="85"/>
      <c r="D102" s="85"/>
      <c r="E102" s="85"/>
      <c r="F102" s="86"/>
      <c r="G102" s="16"/>
      <c r="H102" s="17">
        <v>2</v>
      </c>
      <c r="I102" s="17"/>
      <c r="J102" s="17">
        <v>1.76</v>
      </c>
      <c r="K102" s="17"/>
      <c r="L102" s="17"/>
      <c r="M102" s="17" t="str">
        <f>IF(COUNTA(J102:L102)=2,ROUND(PRODUCT(J102:L102),2),"")</f>
        <v/>
      </c>
      <c r="N102" s="17" t="str">
        <f>IF(OR(COUNTA(J102:L102)=3,AND(COUNTA(J102:L102)=1,M102&lt;&gt;"")),ROUND(PRODUCT(J102:M102),2),"")</f>
        <v/>
      </c>
      <c r="O102" s="17">
        <f>IF(N102&lt;&gt;"",ROUND(PRODUCT(H102,I102,N102),2),IF(M102&lt;&gt;"",ROUND(PRODUCT(H102,I102,M102),2),ROUND(PRODUCT(H102:L102),2)))</f>
        <v>3.52</v>
      </c>
      <c r="P102" s="17"/>
    </row>
    <row r="103" spans="1:16" ht="15" customHeight="1" x14ac:dyDescent="0.25">
      <c r="A103" s="16" t="s">
        <v>193</v>
      </c>
      <c r="B103" s="84" t="s">
        <v>194</v>
      </c>
      <c r="C103" s="85"/>
      <c r="D103" s="85"/>
      <c r="E103" s="85"/>
      <c r="F103" s="86"/>
      <c r="G103" s="16"/>
      <c r="H103" s="17">
        <v>2</v>
      </c>
      <c r="I103" s="17"/>
      <c r="J103" s="17">
        <v>0.8</v>
      </c>
      <c r="K103" s="17"/>
      <c r="L103" s="17"/>
      <c r="M103" s="17" t="str">
        <f>IF(COUNTA(J103:L103)=2,ROUND(PRODUCT(J103:L103),2),"")</f>
        <v/>
      </c>
      <c r="N103" s="17" t="str">
        <f>IF(OR(COUNTA(J103:L103)=3,AND(COUNTA(J103:L103)=1,M103&lt;&gt;"")),ROUND(PRODUCT(J103:M103),2),"")</f>
        <v/>
      </c>
      <c r="O103" s="17">
        <f>IF(N103&lt;&gt;"",ROUND(PRODUCT(H103,I103,N103),2),IF(M103&lt;&gt;"",ROUND(PRODUCT(H103,I103,M103),2),ROUND(PRODUCT(H103:L103),2)))</f>
        <v>1.6</v>
      </c>
      <c r="P103" s="17"/>
    </row>
    <row r="104" spans="1:16" ht="15" customHeight="1" x14ac:dyDescent="0.25">
      <c r="A104" s="3"/>
      <c r="B104" s="3"/>
      <c r="C104" s="3"/>
      <c r="D104" s="3"/>
      <c r="E104" s="3"/>
      <c r="F104" s="3"/>
      <c r="G104" s="3"/>
      <c r="H104" s="3"/>
      <c r="I104" s="3"/>
      <c r="J104" s="3"/>
      <c r="K104" s="3"/>
      <c r="L104" s="3"/>
      <c r="M104" s="3"/>
      <c r="N104" s="3"/>
      <c r="O104" s="3"/>
      <c r="P104" s="3"/>
    </row>
    <row r="105" spans="1:16" ht="45" customHeight="1" x14ac:dyDescent="0.25">
      <c r="A105" s="16" t="s">
        <v>62</v>
      </c>
      <c r="B105" s="16" t="s">
        <v>195</v>
      </c>
      <c r="C105" s="84" t="str">
        <f>VLOOKUP(B105,COMPOSICAO!B:K,2,FALSE)</f>
        <v>DIVISÓRIA EM GRANITO CINZA ANDORINHA POLIDO, E=2CM, INCLUSIVE MONTAGEM COM FERRAGENS - REV 02</v>
      </c>
      <c r="D105" s="85"/>
      <c r="E105" s="85"/>
      <c r="F105" s="86"/>
      <c r="G105" s="16" t="str">
        <f>VLOOKUP(B105,COMPOSICAO!B:K,6,FALSE)</f>
        <v>M2</v>
      </c>
      <c r="H105" s="16"/>
      <c r="I105" s="16"/>
      <c r="J105" s="16"/>
      <c r="K105" s="16"/>
      <c r="L105" s="16"/>
      <c r="M105" s="16"/>
      <c r="N105" s="16"/>
      <c r="O105" s="16"/>
      <c r="P105" s="17">
        <f>SUM(O105:O107)</f>
        <v>13.6</v>
      </c>
    </row>
    <row r="106" spans="1:16" ht="15" customHeight="1" x14ac:dyDescent="0.25">
      <c r="A106" s="16" t="s">
        <v>196</v>
      </c>
      <c r="B106" s="84" t="s">
        <v>197</v>
      </c>
      <c r="C106" s="85"/>
      <c r="D106" s="85"/>
      <c r="E106" s="85"/>
      <c r="F106" s="86"/>
      <c r="G106" s="16"/>
      <c r="H106" s="17">
        <v>4</v>
      </c>
      <c r="I106" s="17"/>
      <c r="J106" s="17">
        <v>2</v>
      </c>
      <c r="K106" s="17"/>
      <c r="L106" s="17">
        <v>1.7</v>
      </c>
      <c r="M106" s="17">
        <f>IF(COUNTA(J106:L106)=2,ROUND(PRODUCT(J106:L106),2),"")</f>
        <v>3.4</v>
      </c>
      <c r="N106" s="17" t="str">
        <f>IF(OR(COUNTA(J106:L106)=3,AND(COUNTA(J106:L106)=1,M106&lt;&gt;"")),ROUND(PRODUCT(J106:M106),2),"")</f>
        <v/>
      </c>
      <c r="O106" s="17">
        <f>IF(N106&lt;&gt;"",ROUND(PRODUCT(H106,I106,N106),2),IF(M106&lt;&gt;"",ROUND(PRODUCT(H106,I106,M106),2),ROUND(PRODUCT(H106:L106),2)))</f>
        <v>13.6</v>
      </c>
      <c r="P106" s="17"/>
    </row>
    <row r="107" spans="1:16" ht="15" customHeight="1" x14ac:dyDescent="0.25">
      <c r="A107" s="3"/>
      <c r="B107" s="3"/>
      <c r="C107" s="3"/>
      <c r="D107" s="3"/>
      <c r="E107" s="3"/>
      <c r="F107" s="3"/>
      <c r="G107" s="3"/>
      <c r="H107" s="3"/>
      <c r="I107" s="3"/>
      <c r="J107" s="3"/>
      <c r="K107" s="3"/>
      <c r="L107" s="3"/>
      <c r="M107" s="3"/>
      <c r="N107" s="3"/>
      <c r="O107" s="3"/>
      <c r="P107" s="3"/>
    </row>
    <row r="108" spans="1:16" ht="15" customHeight="1" x14ac:dyDescent="0.25">
      <c r="A108" s="15">
        <v>7</v>
      </c>
      <c r="B108" s="87" t="s">
        <v>198</v>
      </c>
      <c r="C108" s="88"/>
      <c r="D108" s="88"/>
      <c r="E108" s="88"/>
      <c r="F108" s="88"/>
      <c r="G108" s="88"/>
      <c r="H108" s="88"/>
      <c r="I108" s="88"/>
      <c r="J108" s="88"/>
      <c r="K108" s="88"/>
      <c r="L108" s="88"/>
      <c r="M108" s="88"/>
      <c r="N108" s="88"/>
      <c r="O108" s="88"/>
      <c r="P108" s="89"/>
    </row>
    <row r="109" spans="1:16" ht="60" customHeight="1" x14ac:dyDescent="0.25">
      <c r="A109" s="16" t="s">
        <v>63</v>
      </c>
      <c r="B109" s="20">
        <v>94992</v>
      </c>
      <c r="C109" s="84" t="str">
        <f>VLOOKUP(B109,COMPOSICAO!B:K,2,FALSE)</f>
        <v>EXECUÇÃO DE PASSEIO (CALÇADA) OU PISO DE CONCRETO COM CONCRETO MOLDADO IN LOCO, FEITO EM OBRA, ACABAMENTO CONVENCIONAL, ESPESSURA 6 CM, ARMADO. AF_07/2016</v>
      </c>
      <c r="D109" s="85"/>
      <c r="E109" s="85"/>
      <c r="F109" s="86"/>
      <c r="G109" s="16" t="str">
        <f>VLOOKUP(B109,COMPOSICAO!B:K,6,FALSE)</f>
        <v>M2</v>
      </c>
      <c r="H109" s="16"/>
      <c r="I109" s="16"/>
      <c r="J109" s="16"/>
      <c r="K109" s="16"/>
      <c r="L109" s="16"/>
      <c r="M109" s="16"/>
      <c r="N109" s="16"/>
      <c r="O109" s="16"/>
      <c r="P109" s="17">
        <f>SUM(O109:O112)</f>
        <v>207.29</v>
      </c>
    </row>
    <row r="110" spans="1:16" ht="15" customHeight="1" x14ac:dyDescent="0.25">
      <c r="A110" s="16" t="s">
        <v>199</v>
      </c>
      <c r="B110" s="84" t="s">
        <v>200</v>
      </c>
      <c r="C110" s="85"/>
      <c r="D110" s="85"/>
      <c r="E110" s="85"/>
      <c r="F110" s="86"/>
      <c r="G110" s="16"/>
      <c r="H110" s="17"/>
      <c r="I110" s="17"/>
      <c r="J110" s="17"/>
      <c r="K110" s="17"/>
      <c r="L110" s="17"/>
      <c r="M110" s="17">
        <v>124.97</v>
      </c>
      <c r="N110" s="17" t="str">
        <f>IF(OR(COUNTA(J110:L110)=3,AND(COUNTA(J110:L110)=1,M110&lt;&gt;"")),ROUND(PRODUCT(J110:M110),2),"")</f>
        <v/>
      </c>
      <c r="O110" s="17">
        <f>IF(N110&lt;&gt;"",ROUND(PRODUCT(H110,I110,N110),2),IF(M110&lt;&gt;"",ROUND(PRODUCT(H110,I110,M110),2),ROUND(PRODUCT(H110:L110),2)))</f>
        <v>124.97</v>
      </c>
      <c r="P110" s="17"/>
    </row>
    <row r="111" spans="1:16" ht="15" customHeight="1" x14ac:dyDescent="0.25">
      <c r="A111" s="16" t="s">
        <v>201</v>
      </c>
      <c r="B111" s="84" t="s">
        <v>202</v>
      </c>
      <c r="C111" s="85"/>
      <c r="D111" s="85"/>
      <c r="E111" s="85"/>
      <c r="F111" s="86"/>
      <c r="G111" s="16"/>
      <c r="H111" s="17"/>
      <c r="I111" s="17"/>
      <c r="J111" s="17"/>
      <c r="K111" s="17"/>
      <c r="L111" s="17"/>
      <c r="M111" s="17">
        <v>82.32</v>
      </c>
      <c r="N111" s="17" t="str">
        <f>IF(OR(COUNTA(J111:L111)=3,AND(COUNTA(J111:L111)=1,M111&lt;&gt;"")),ROUND(PRODUCT(J111:M111),2),"")</f>
        <v/>
      </c>
      <c r="O111" s="17">
        <f>IF(N111&lt;&gt;"",ROUND(PRODUCT(H111,I111,N111),2),IF(M111&lt;&gt;"",ROUND(PRODUCT(H111,I111,M111),2),ROUND(PRODUCT(H111:L111),2)))</f>
        <v>82.32</v>
      </c>
      <c r="P111" s="17"/>
    </row>
    <row r="112" spans="1:16" ht="15" customHeight="1" x14ac:dyDescent="0.25">
      <c r="A112" s="3"/>
      <c r="B112" s="3"/>
      <c r="C112" s="3"/>
      <c r="D112" s="3"/>
      <c r="E112" s="3"/>
      <c r="F112" s="3"/>
      <c r="G112" s="3"/>
      <c r="H112" s="3"/>
      <c r="I112" s="3"/>
      <c r="J112" s="3"/>
      <c r="K112" s="3"/>
      <c r="L112" s="3"/>
      <c r="M112" s="3"/>
      <c r="N112" s="3"/>
      <c r="O112" s="3"/>
      <c r="P112" s="3"/>
    </row>
    <row r="113" spans="1:17" ht="15" customHeight="1" x14ac:dyDescent="0.25">
      <c r="A113" s="15">
        <v>8</v>
      </c>
      <c r="B113" s="87" t="s">
        <v>203</v>
      </c>
      <c r="C113" s="88"/>
      <c r="D113" s="88"/>
      <c r="E113" s="88"/>
      <c r="F113" s="88"/>
      <c r="G113" s="88"/>
      <c r="H113" s="88"/>
      <c r="I113" s="88"/>
      <c r="J113" s="88"/>
      <c r="K113" s="88"/>
      <c r="L113" s="88"/>
      <c r="M113" s="88"/>
      <c r="N113" s="88"/>
      <c r="O113" s="88"/>
      <c r="P113" s="89"/>
    </row>
    <row r="114" spans="1:17" ht="60" customHeight="1" x14ac:dyDescent="0.25">
      <c r="A114" s="16" t="s">
        <v>64</v>
      </c>
      <c r="B114" s="20">
        <v>91341</v>
      </c>
      <c r="C114" s="84" t="str">
        <f>VLOOKUP(B114,COMPOSICAO!B:K,2,FALSE)</f>
        <v>PORTA EM ALUMÍNIO DE ABRIR TIPO VENEZIANA COM GUARNIÇÃO, FIXAÇÃO COM PARAFUSOS - FORNECIMENTO E INSTALAÇÃO. AF_12/2019</v>
      </c>
      <c r="D114" s="85"/>
      <c r="E114" s="85"/>
      <c r="F114" s="86"/>
      <c r="G114" s="16" t="str">
        <f>VLOOKUP(B114,COMPOSICAO!B:K,6,FALSE)</f>
        <v>M2</v>
      </c>
      <c r="H114" s="16"/>
      <c r="I114" s="16"/>
      <c r="J114" s="16"/>
      <c r="K114" s="16"/>
      <c r="L114" s="16"/>
      <c r="M114" s="16"/>
      <c r="N114" s="16"/>
      <c r="O114" s="16"/>
      <c r="P114" s="17">
        <f>SUM(O114:O116)</f>
        <v>3.36</v>
      </c>
    </row>
    <row r="115" spans="1:17" ht="15" customHeight="1" x14ac:dyDescent="0.25">
      <c r="A115" s="16" t="s">
        <v>204</v>
      </c>
      <c r="B115" s="84" t="s">
        <v>194</v>
      </c>
      <c r="C115" s="85"/>
      <c r="D115" s="85"/>
      <c r="E115" s="85"/>
      <c r="F115" s="86"/>
      <c r="G115" s="16"/>
      <c r="H115" s="17">
        <v>2</v>
      </c>
      <c r="I115" s="17"/>
      <c r="J115" s="17">
        <v>0.8</v>
      </c>
      <c r="K115" s="17"/>
      <c r="L115" s="17">
        <v>2.1</v>
      </c>
      <c r="M115" s="17">
        <f>IF(COUNTA(J115:L115)=2,ROUND(PRODUCT(J115:L115),2),"")</f>
        <v>1.68</v>
      </c>
      <c r="N115" s="17" t="str">
        <f>IF(OR(COUNTA(J115:L115)=3,AND(COUNTA(J115:L115)=1,M115&lt;&gt;"")),ROUND(PRODUCT(J115:M115),2),"")</f>
        <v/>
      </c>
      <c r="O115" s="17">
        <f>IF(N115&lt;&gt;"",ROUND(PRODUCT(H115,I115,N115),2),IF(M115&lt;&gt;"",ROUND(PRODUCT(H115,I115,M115),2),ROUND(PRODUCT(H115:L115),2)))</f>
        <v>3.36</v>
      </c>
      <c r="P115" s="17"/>
    </row>
    <row r="116" spans="1:17" ht="15" customHeight="1" x14ac:dyDescent="0.25">
      <c r="A116" s="3"/>
      <c r="B116" s="3"/>
      <c r="C116" s="3"/>
      <c r="D116" s="3"/>
      <c r="E116" s="3"/>
      <c r="F116" s="3"/>
      <c r="G116" s="3"/>
      <c r="H116" s="3"/>
      <c r="I116" s="3"/>
      <c r="J116" s="3"/>
      <c r="K116" s="3"/>
      <c r="L116" s="3"/>
      <c r="M116" s="3"/>
      <c r="N116" s="3"/>
      <c r="O116" s="3"/>
      <c r="P116" s="3"/>
    </row>
    <row r="117" spans="1:17" ht="30" customHeight="1" x14ac:dyDescent="0.25">
      <c r="A117" s="16" t="s">
        <v>65</v>
      </c>
      <c r="B117" s="16" t="s">
        <v>205</v>
      </c>
      <c r="C117" s="84" t="str">
        <f>VLOOKUP(B117,COMPOSICAO!B:K,2,FALSE)</f>
        <v>PORTA DE ALUMÍNIO C/VIDRO CRISTAL TEMPERADO</v>
      </c>
      <c r="D117" s="85"/>
      <c r="E117" s="85"/>
      <c r="F117" s="86"/>
      <c r="G117" s="16" t="str">
        <f>VLOOKUP(B117,COMPOSICAO!B:K,6,FALSE)</f>
        <v>M2</v>
      </c>
      <c r="H117" s="16"/>
      <c r="I117" s="16"/>
      <c r="J117" s="16"/>
      <c r="K117" s="16"/>
      <c r="L117" s="16"/>
      <c r="M117" s="16"/>
      <c r="N117" s="16"/>
      <c r="O117" s="16"/>
      <c r="P117" s="17">
        <f>SUM(O117:O120)</f>
        <v>7.4</v>
      </c>
    </row>
    <row r="118" spans="1:17" ht="15" customHeight="1" x14ac:dyDescent="0.25">
      <c r="A118" s="16" t="s">
        <v>206</v>
      </c>
      <c r="B118" s="84" t="s">
        <v>207</v>
      </c>
      <c r="C118" s="85"/>
      <c r="D118" s="85"/>
      <c r="E118" s="85"/>
      <c r="F118" s="86"/>
      <c r="G118" s="16"/>
      <c r="H118" s="17"/>
      <c r="I118" s="17"/>
      <c r="J118" s="17">
        <v>1.76</v>
      </c>
      <c r="K118" s="17"/>
      <c r="L118" s="17">
        <v>2.1</v>
      </c>
      <c r="M118" s="17">
        <f>IF(COUNTA(J118:L118)=2,ROUND(PRODUCT(J118:L118),2),"")</f>
        <v>3.7</v>
      </c>
      <c r="N118" s="17" t="str">
        <f>IF(OR(COUNTA(J118:L118)=3,AND(COUNTA(J118:L118)=1,M118&lt;&gt;"")),ROUND(PRODUCT(J118:M118),2),"")</f>
        <v/>
      </c>
      <c r="O118" s="17">
        <f>IF(N118&lt;&gt;"",ROUND(PRODUCT(H118,I118,N118),2),IF(M118&lt;&gt;"",ROUND(PRODUCT(H118,I118,M118),2),ROUND(PRODUCT(H118:L118),2)))</f>
        <v>3.7</v>
      </c>
      <c r="P118" s="17"/>
    </row>
    <row r="119" spans="1:17" ht="15" customHeight="1" x14ac:dyDescent="0.25">
      <c r="A119" s="16" t="s">
        <v>208</v>
      </c>
      <c r="B119" s="84" t="s">
        <v>209</v>
      </c>
      <c r="C119" s="85"/>
      <c r="D119" s="85"/>
      <c r="E119" s="85"/>
      <c r="F119" s="86"/>
      <c r="G119" s="16"/>
      <c r="H119" s="17"/>
      <c r="I119" s="17"/>
      <c r="J119" s="17">
        <v>1.76</v>
      </c>
      <c r="K119" s="17"/>
      <c r="L119" s="17">
        <v>2.1</v>
      </c>
      <c r="M119" s="17">
        <f>IF(COUNTA(J119:L119)=2,ROUND(PRODUCT(J119:L119),2),"")</f>
        <v>3.7</v>
      </c>
      <c r="N119" s="17" t="str">
        <f>IF(OR(COUNTA(J119:L119)=3,AND(COUNTA(J119:L119)=1,M119&lt;&gt;"")),ROUND(PRODUCT(J119:M119),2),"")</f>
        <v/>
      </c>
      <c r="O119" s="17">
        <f>IF(N119&lt;&gt;"",ROUND(PRODUCT(H119,I119,N119),2),IF(M119&lt;&gt;"",ROUND(PRODUCT(H119,I119,M119),2),ROUND(PRODUCT(H119:L119),2)))</f>
        <v>3.7</v>
      </c>
      <c r="P119" s="17"/>
    </row>
    <row r="120" spans="1:17" ht="15" customHeight="1" x14ac:dyDescent="0.25">
      <c r="A120" s="3"/>
      <c r="B120" s="3"/>
      <c r="C120" s="3"/>
      <c r="D120" s="3"/>
      <c r="E120" s="3"/>
      <c r="F120" s="3"/>
      <c r="G120" s="3"/>
      <c r="H120" s="3"/>
      <c r="I120" s="3"/>
      <c r="J120" s="3"/>
      <c r="K120" s="3"/>
      <c r="L120" s="3"/>
      <c r="M120" s="3"/>
      <c r="N120" s="3"/>
      <c r="O120" s="3"/>
      <c r="P120" s="3"/>
    </row>
    <row r="121" spans="1:17" ht="30" customHeight="1" x14ac:dyDescent="0.25">
      <c r="A121" s="16" t="s">
        <v>66</v>
      </c>
      <c r="B121" s="16" t="s">
        <v>210</v>
      </c>
      <c r="C121" s="84" t="str">
        <f>VLOOKUP(B121,COMPOSICAO!B:K,2,FALSE)</f>
        <v>PORTA EM CHAPA LISA DE ALUMÍNIO, COR N/P/B, COMUM, DE ABRIR OU CORRER</v>
      </c>
      <c r="D121" s="85"/>
      <c r="E121" s="85"/>
      <c r="F121" s="86"/>
      <c r="G121" s="16" t="str">
        <f>VLOOKUP(B121,COMPOSICAO!B:K,6,FALSE)</f>
        <v>M2</v>
      </c>
      <c r="H121" s="16"/>
      <c r="I121" s="16"/>
      <c r="J121" s="16"/>
      <c r="K121" s="16"/>
      <c r="L121" s="16"/>
      <c r="M121" s="16"/>
      <c r="N121" s="16"/>
      <c r="O121" s="16"/>
      <c r="P121" s="17">
        <f>SUM(O121:O123)</f>
        <v>8.16</v>
      </c>
    </row>
    <row r="122" spans="1:17" ht="15" customHeight="1" x14ac:dyDescent="0.25">
      <c r="A122" s="16" t="s">
        <v>211</v>
      </c>
      <c r="B122" s="84" t="s">
        <v>212</v>
      </c>
      <c r="C122" s="85"/>
      <c r="D122" s="85"/>
      <c r="E122" s="85"/>
      <c r="F122" s="86"/>
      <c r="G122" s="16"/>
      <c r="H122" s="17">
        <v>6</v>
      </c>
      <c r="I122" s="17"/>
      <c r="J122" s="17">
        <v>0.8</v>
      </c>
      <c r="K122" s="17"/>
      <c r="L122" s="17">
        <v>1.7</v>
      </c>
      <c r="M122" s="17">
        <f>IF(COUNTA(J122:L122)=2,ROUND(PRODUCT(J122:L122),2),"")</f>
        <v>1.36</v>
      </c>
      <c r="N122" s="17" t="str">
        <f>IF(OR(COUNTA(J122:L122)=3,AND(COUNTA(J122:L122)=1,M122&lt;&gt;"")),ROUND(PRODUCT(J122:M122),2),"")</f>
        <v/>
      </c>
      <c r="O122" s="17">
        <f>IF(N122&lt;&gt;"",ROUND(PRODUCT(H122,I122,N122),2),IF(M122&lt;&gt;"",ROUND(PRODUCT(H122,I122,M122),2),ROUND(PRODUCT(H122:L122),2)))</f>
        <v>8.16</v>
      </c>
      <c r="P122" s="17"/>
    </row>
    <row r="123" spans="1:17" ht="15" customHeight="1" x14ac:dyDescent="0.25">
      <c r="A123" s="3"/>
      <c r="B123" s="3"/>
      <c r="C123" s="3"/>
      <c r="D123" s="3"/>
      <c r="E123" s="3"/>
      <c r="F123" s="3"/>
      <c r="G123" s="3"/>
      <c r="H123" s="3"/>
      <c r="I123" s="3"/>
      <c r="J123" s="3"/>
      <c r="K123" s="3"/>
      <c r="L123" s="3"/>
      <c r="M123" s="3"/>
      <c r="N123" s="3"/>
      <c r="O123" s="3"/>
      <c r="P123" s="3"/>
    </row>
    <row r="124" spans="1:17" ht="15" customHeight="1" x14ac:dyDescent="0.25">
      <c r="A124" s="16" t="s">
        <v>67</v>
      </c>
      <c r="B124" s="16" t="s">
        <v>213</v>
      </c>
      <c r="C124" s="84" t="str">
        <f>VLOOKUP(B124,COMPOSICAO!B:K,2,FALSE)</f>
        <v>BASCULANTE DE FERRO</v>
      </c>
      <c r="D124" s="85"/>
      <c r="E124" s="85"/>
      <c r="F124" s="86"/>
      <c r="G124" s="16" t="str">
        <f>VLOOKUP(B124,COMPOSICAO!B:K,6,FALSE)</f>
        <v>M2</v>
      </c>
      <c r="H124" s="16"/>
      <c r="I124" s="16"/>
      <c r="J124" s="16"/>
      <c r="K124" s="16"/>
      <c r="L124" s="16"/>
      <c r="M124" s="16"/>
      <c r="N124" s="16"/>
      <c r="O124" s="16"/>
      <c r="P124" s="17">
        <f>SUM(O124:O127)</f>
        <v>14</v>
      </c>
    </row>
    <row r="125" spans="1:17" ht="15" customHeight="1" x14ac:dyDescent="0.25">
      <c r="A125" s="16" t="s">
        <v>214</v>
      </c>
      <c r="B125" s="84" t="s">
        <v>215</v>
      </c>
      <c r="C125" s="85"/>
      <c r="D125" s="85"/>
      <c r="E125" s="85"/>
      <c r="F125" s="86"/>
      <c r="G125" s="16"/>
      <c r="H125" s="17">
        <v>2</v>
      </c>
      <c r="I125" s="17"/>
      <c r="J125" s="17">
        <v>0.5</v>
      </c>
      <c r="K125" s="17"/>
      <c r="L125" s="17">
        <v>0.5</v>
      </c>
      <c r="M125" s="17">
        <f>IF(COUNTA(J125:L125)=2,ROUND(PRODUCT(J125:L125),2),"")</f>
        <v>0.25</v>
      </c>
      <c r="N125" s="17" t="str">
        <f>IF(OR(COUNTA(J125:L125)=3,AND(COUNTA(J125:L125)=1,M125&lt;&gt;"")),ROUND(PRODUCT(J125:M125),2),"")</f>
        <v/>
      </c>
      <c r="O125" s="17">
        <f>IF(N125&lt;&gt;"",ROUND(PRODUCT(H125,I125,N125),2),IF(M125&lt;&gt;"",ROUND(PRODUCT(H125,I125,M125),2),ROUND(PRODUCT(H125:L125),2)))</f>
        <v>0.5</v>
      </c>
      <c r="P125" s="17"/>
    </row>
    <row r="126" spans="1:17" ht="15" customHeight="1" x14ac:dyDescent="0.25">
      <c r="A126" s="16" t="s">
        <v>216</v>
      </c>
      <c r="B126" s="84" t="s">
        <v>217</v>
      </c>
      <c r="C126" s="85"/>
      <c r="D126" s="85"/>
      <c r="E126" s="85"/>
      <c r="F126" s="86"/>
      <c r="G126" s="16"/>
      <c r="H126" s="17">
        <v>9</v>
      </c>
      <c r="I126" s="17"/>
      <c r="J126" s="17">
        <v>1.5</v>
      </c>
      <c r="K126" s="17"/>
      <c r="L126" s="17">
        <v>1</v>
      </c>
      <c r="M126" s="17">
        <f>IF(COUNTA(J126:L126)=2,ROUND(PRODUCT(J126:L126),2),"")</f>
        <v>1.5</v>
      </c>
      <c r="N126" s="17" t="str">
        <f>IF(OR(COUNTA(J126:L126)=3,AND(COUNTA(J126:L126)=1,M126&lt;&gt;"")),ROUND(PRODUCT(J126:M126),2),"")</f>
        <v/>
      </c>
      <c r="O126" s="17">
        <f>IF(N126&lt;&gt;"",ROUND(PRODUCT(H126,I126,N126),2),IF(M126&lt;&gt;"",ROUND(PRODUCT(H126,I126,M126),2),ROUND(PRODUCT(H126:L126),2)))</f>
        <v>13.5</v>
      </c>
      <c r="P126" s="17"/>
    </row>
    <row r="127" spans="1:17" ht="15" customHeight="1" x14ac:dyDescent="0.25">
      <c r="A127" s="3"/>
      <c r="B127" s="3"/>
      <c r="C127" s="3"/>
      <c r="D127" s="3"/>
      <c r="E127" s="3"/>
      <c r="F127" s="3"/>
      <c r="G127" s="3"/>
      <c r="H127" s="3"/>
      <c r="I127" s="3"/>
      <c r="J127" s="3"/>
      <c r="K127" s="3"/>
      <c r="L127" s="3"/>
      <c r="M127" s="3"/>
      <c r="N127" s="3"/>
      <c r="O127" s="3"/>
      <c r="P127" s="3"/>
    </row>
    <row r="128" spans="1:17" ht="15" customHeight="1" x14ac:dyDescent="0.25">
      <c r="A128" s="16" t="s">
        <v>68</v>
      </c>
      <c r="B128" s="20">
        <v>85001</v>
      </c>
      <c r="C128" s="84" t="s">
        <v>218</v>
      </c>
      <c r="D128" s="85"/>
      <c r="E128" s="85"/>
      <c r="F128" s="86"/>
      <c r="G128" s="16" t="s">
        <v>219</v>
      </c>
      <c r="H128" s="16"/>
      <c r="I128" s="16"/>
      <c r="J128" s="16"/>
      <c r="K128" s="16"/>
      <c r="L128" s="16"/>
      <c r="M128" s="16"/>
      <c r="N128" s="16"/>
      <c r="O128" s="16"/>
      <c r="P128" s="17">
        <f>SUM(O128:O130)</f>
        <v>14</v>
      </c>
      <c r="Q128" s="19" t="s">
        <v>43</v>
      </c>
    </row>
    <row r="129" spans="1:16" ht="15" customHeight="1" x14ac:dyDescent="0.25">
      <c r="A129" s="16" t="s">
        <v>220</v>
      </c>
      <c r="B129" s="84" t="s">
        <v>221</v>
      </c>
      <c r="C129" s="85"/>
      <c r="D129" s="85"/>
      <c r="E129" s="85"/>
      <c r="F129" s="86"/>
      <c r="G129" s="16"/>
      <c r="H129" s="17">
        <v>14</v>
      </c>
      <c r="I129" s="17"/>
      <c r="J129" s="17"/>
      <c r="K129" s="17"/>
      <c r="L129" s="17"/>
      <c r="M129" s="17" t="str">
        <f>IF(COUNTA(J129:L129)=2,ROUND(PRODUCT(J129:L129),2),"")</f>
        <v/>
      </c>
      <c r="N129" s="17" t="str">
        <f>IF(OR(COUNTA(J129:L129)=3,AND(COUNTA(J129:L129)=1,M129&lt;&gt;"")),ROUND(PRODUCT(J129:M129),2),"")</f>
        <v/>
      </c>
      <c r="O129" s="17">
        <f>IF(N129&lt;&gt;"",ROUND(PRODUCT(H129,I129,N129),2),IF(M129&lt;&gt;"",ROUND(PRODUCT(H129,I129,M129),2),ROUND(PRODUCT(H129:L129),2)))</f>
        <v>14</v>
      </c>
      <c r="P129" s="17"/>
    </row>
    <row r="130" spans="1:16" ht="15" customHeight="1" x14ac:dyDescent="0.25">
      <c r="A130" s="3"/>
      <c r="B130" s="3"/>
      <c r="C130" s="3"/>
      <c r="D130" s="3"/>
      <c r="E130" s="3"/>
      <c r="F130" s="3"/>
      <c r="G130" s="3"/>
      <c r="H130" s="3"/>
      <c r="I130" s="3"/>
      <c r="J130" s="3"/>
      <c r="K130" s="3"/>
      <c r="L130" s="3"/>
      <c r="M130" s="3"/>
      <c r="N130" s="3"/>
      <c r="O130" s="3"/>
      <c r="P130" s="3"/>
    </row>
    <row r="131" spans="1:16" ht="30" customHeight="1" x14ac:dyDescent="0.25">
      <c r="A131" s="16" t="s">
        <v>69</v>
      </c>
      <c r="B131" s="16" t="s">
        <v>222</v>
      </c>
      <c r="C131" s="84" t="str">
        <f>VLOOKUP(B131,COMPOSICAO!B:K,2,FALSE)</f>
        <v>GRADE PROTEÇÃO C/ BARRA REDONDA FERRO 5/8"</v>
      </c>
      <c r="D131" s="85"/>
      <c r="E131" s="85"/>
      <c r="F131" s="86"/>
      <c r="G131" s="16" t="str">
        <f>VLOOKUP(B131,COMPOSICAO!B:K,6,FALSE)</f>
        <v>M2</v>
      </c>
      <c r="H131" s="16"/>
      <c r="I131" s="16"/>
      <c r="J131" s="16"/>
      <c r="K131" s="16"/>
      <c r="L131" s="16"/>
      <c r="M131" s="16"/>
      <c r="N131" s="16"/>
      <c r="O131" s="16"/>
      <c r="P131" s="17">
        <f>SUM(O131:O133)</f>
        <v>14</v>
      </c>
    </row>
    <row r="132" spans="1:16" ht="15" customHeight="1" x14ac:dyDescent="0.25">
      <c r="A132" s="16" t="s">
        <v>223</v>
      </c>
      <c r="B132" s="84" t="s">
        <v>224</v>
      </c>
      <c r="C132" s="85"/>
      <c r="D132" s="85"/>
      <c r="E132" s="85"/>
      <c r="F132" s="86"/>
      <c r="G132" s="16"/>
      <c r="H132" s="17"/>
      <c r="I132" s="17"/>
      <c r="J132" s="17"/>
      <c r="K132" s="17"/>
      <c r="L132" s="17"/>
      <c r="M132" s="17">
        <v>14</v>
      </c>
      <c r="N132" s="17" t="str">
        <f>IF(OR(COUNTA(J132:L132)=3,AND(COUNTA(J132:L132)=1,M132&lt;&gt;"")),ROUND(PRODUCT(J132:M132),2),"")</f>
        <v/>
      </c>
      <c r="O132" s="17">
        <f>IF(N132&lt;&gt;"",ROUND(PRODUCT(H132,I132,N132),2),IF(M132&lt;&gt;"",ROUND(PRODUCT(H132,I132,M132),2),ROUND(PRODUCT(H132:L132),2)))</f>
        <v>14</v>
      </c>
      <c r="P132" s="17"/>
    </row>
    <row r="133" spans="1:16" ht="15" customHeight="1" x14ac:dyDescent="0.25">
      <c r="A133" s="3"/>
      <c r="B133" s="3"/>
      <c r="C133" s="3"/>
      <c r="D133" s="3"/>
      <c r="E133" s="3"/>
      <c r="F133" s="3"/>
      <c r="G133" s="3"/>
      <c r="H133" s="3"/>
      <c r="I133" s="3"/>
      <c r="J133" s="3"/>
      <c r="K133" s="3"/>
      <c r="L133" s="3"/>
      <c r="M133" s="3"/>
      <c r="N133" s="3"/>
      <c r="O133" s="3"/>
      <c r="P133" s="3"/>
    </row>
    <row r="134" spans="1:16" ht="30" customHeight="1" x14ac:dyDescent="0.25">
      <c r="A134" s="16" t="s">
        <v>70</v>
      </c>
      <c r="B134" s="16" t="s">
        <v>225</v>
      </c>
      <c r="C134" s="84" t="str">
        <f>VLOOKUP(B134,COMPOSICAO!B:K,2,FALSE)</f>
        <v>ESPELHO DE CRISTAL 4MM COM MOLDURA DE ALUMÍNIO</v>
      </c>
      <c r="D134" s="85"/>
      <c r="E134" s="85"/>
      <c r="F134" s="86"/>
      <c r="G134" s="16" t="str">
        <f>VLOOKUP(B134,COMPOSICAO!B:K,6,FALSE)</f>
        <v>M2</v>
      </c>
      <c r="H134" s="16"/>
      <c r="I134" s="16"/>
      <c r="J134" s="16"/>
      <c r="K134" s="16"/>
      <c r="L134" s="16"/>
      <c r="M134" s="16"/>
      <c r="N134" s="16"/>
      <c r="O134" s="16"/>
      <c r="P134" s="17">
        <f>SUM(O134:O136)</f>
        <v>3.46</v>
      </c>
    </row>
    <row r="135" spans="1:16" ht="15" customHeight="1" x14ac:dyDescent="0.25">
      <c r="A135" s="16" t="s">
        <v>226</v>
      </c>
      <c r="B135" s="84" t="s">
        <v>11</v>
      </c>
      <c r="C135" s="85"/>
      <c r="D135" s="85"/>
      <c r="E135" s="85"/>
      <c r="F135" s="86"/>
      <c r="G135" s="16"/>
      <c r="H135" s="17">
        <v>2</v>
      </c>
      <c r="I135" s="17"/>
      <c r="J135" s="17">
        <v>1.5</v>
      </c>
      <c r="K135" s="17"/>
      <c r="L135" s="17">
        <v>1.1499999999999999</v>
      </c>
      <c r="M135" s="17">
        <f>IF(COUNTA(J135:L135)=2,ROUND(PRODUCT(J135:L135),2),"")</f>
        <v>1.73</v>
      </c>
      <c r="N135" s="17" t="str">
        <f>IF(OR(COUNTA(J135:L135)=3,AND(COUNTA(J135:L135)=1,M135&lt;&gt;"")),ROUND(PRODUCT(J135:M135),2),"")</f>
        <v/>
      </c>
      <c r="O135" s="17">
        <f>IF(N135&lt;&gt;"",ROUND(PRODUCT(H135,I135,N135),2),IF(M135&lt;&gt;"",ROUND(PRODUCT(H135,I135,M135),2),ROUND(PRODUCT(H135:L135),2)))</f>
        <v>3.46</v>
      </c>
      <c r="P135" s="17"/>
    </row>
    <row r="136" spans="1:16" ht="15" customHeight="1" x14ac:dyDescent="0.25">
      <c r="A136" s="3"/>
      <c r="B136" s="3"/>
      <c r="C136" s="3"/>
      <c r="D136" s="3"/>
      <c r="E136" s="3"/>
      <c r="F136" s="3"/>
      <c r="G136" s="3"/>
      <c r="H136" s="3"/>
      <c r="I136" s="3"/>
      <c r="J136" s="3"/>
      <c r="K136" s="3"/>
      <c r="L136" s="3"/>
      <c r="M136" s="3"/>
      <c r="N136" s="3"/>
      <c r="O136" s="3"/>
      <c r="P136" s="3"/>
    </row>
    <row r="137" spans="1:16" ht="15" customHeight="1" x14ac:dyDescent="0.25">
      <c r="A137" s="15">
        <v>9</v>
      </c>
      <c r="B137" s="87" t="s">
        <v>227</v>
      </c>
      <c r="C137" s="88"/>
      <c r="D137" s="88"/>
      <c r="E137" s="88"/>
      <c r="F137" s="88"/>
      <c r="G137" s="88"/>
      <c r="H137" s="88"/>
      <c r="I137" s="88"/>
      <c r="J137" s="88"/>
      <c r="K137" s="88"/>
      <c r="L137" s="88"/>
      <c r="M137" s="88"/>
      <c r="N137" s="88"/>
      <c r="O137" s="88"/>
      <c r="P137" s="89"/>
    </row>
    <row r="138" spans="1:16" ht="45" customHeight="1" x14ac:dyDescent="0.25">
      <c r="A138" s="16" t="s">
        <v>71</v>
      </c>
      <c r="B138" s="20">
        <v>88415</v>
      </c>
      <c r="C138" s="84" t="str">
        <f>VLOOKUP(B138,COMPOSICAO!B:K,2,FALSE)</f>
        <v>APLICAÇÃO MANUAL DE FUNDO SELADOR ACRÍLICO EM PAREDES EXTERNAS DE CASAS. AF_06/2014</v>
      </c>
      <c r="D138" s="85"/>
      <c r="E138" s="85"/>
      <c r="F138" s="86"/>
      <c r="G138" s="16" t="str">
        <f>VLOOKUP(B138,COMPOSICAO!B:K,6,FALSE)</f>
        <v>M2</v>
      </c>
      <c r="H138" s="16"/>
      <c r="I138" s="16"/>
      <c r="J138" s="16"/>
      <c r="K138" s="16"/>
      <c r="L138" s="16"/>
      <c r="M138" s="16"/>
      <c r="N138" s="16"/>
      <c r="O138" s="16"/>
      <c r="P138" s="17">
        <f>SUM(O138:O140)</f>
        <v>372.12</v>
      </c>
    </row>
    <row r="139" spans="1:16" ht="15" customHeight="1" x14ac:dyDescent="0.25">
      <c r="A139" s="16" t="s">
        <v>228</v>
      </c>
      <c r="B139" s="84" t="s">
        <v>229</v>
      </c>
      <c r="C139" s="85"/>
      <c r="D139" s="85"/>
      <c r="E139" s="85"/>
      <c r="F139" s="86"/>
      <c r="G139" s="16"/>
      <c r="H139" s="17"/>
      <c r="I139" s="17"/>
      <c r="J139" s="17"/>
      <c r="K139" s="17"/>
      <c r="L139" s="17"/>
      <c r="M139" s="17">
        <v>372.12</v>
      </c>
      <c r="N139" s="17" t="str">
        <f>IF(OR(COUNTA(J139:L139)=3,AND(COUNTA(J139:L139)=1,M139&lt;&gt;"")),ROUND(PRODUCT(J139:M139),2),"")</f>
        <v/>
      </c>
      <c r="O139" s="17">
        <f>IF(N139&lt;&gt;"",ROUND(PRODUCT(H139,I139,N139),2),IF(M139&lt;&gt;"",ROUND(PRODUCT(H139,I139,M139),2),ROUND(PRODUCT(H139:L139),2)))</f>
        <v>372.12</v>
      </c>
      <c r="P139" s="17"/>
    </row>
    <row r="140" spans="1:16" ht="15" customHeight="1" x14ac:dyDescent="0.25">
      <c r="A140" s="3"/>
      <c r="B140" s="3"/>
      <c r="C140" s="3"/>
      <c r="D140" s="3"/>
      <c r="E140" s="3"/>
      <c r="F140" s="3"/>
      <c r="G140" s="3"/>
      <c r="H140" s="3"/>
      <c r="I140" s="3"/>
      <c r="J140" s="3"/>
      <c r="K140" s="3"/>
      <c r="L140" s="3"/>
      <c r="M140" s="3"/>
      <c r="N140" s="3"/>
      <c r="O140" s="3"/>
      <c r="P140" s="3"/>
    </row>
    <row r="141" spans="1:16" ht="45" customHeight="1" x14ac:dyDescent="0.25">
      <c r="A141" s="16" t="s">
        <v>72</v>
      </c>
      <c r="B141" s="20">
        <v>88489</v>
      </c>
      <c r="C141" s="84" t="str">
        <f>VLOOKUP(B141,COMPOSICAO!B:K,2,FALSE)</f>
        <v>APLICAÇÃO MANUAL DE PINTURA COM TINTA LÁTEX ACRÍLICA EM PAREDES, DUAS DEMÃOS. AF_06/2014</v>
      </c>
      <c r="D141" s="85"/>
      <c r="E141" s="85"/>
      <c r="F141" s="86"/>
      <c r="G141" s="16" t="str">
        <f>VLOOKUP(B141,COMPOSICAO!B:K,6,FALSE)</f>
        <v>M2</v>
      </c>
      <c r="H141" s="16"/>
      <c r="I141" s="16"/>
      <c r="J141" s="16"/>
      <c r="K141" s="16"/>
      <c r="L141" s="16"/>
      <c r="M141" s="16"/>
      <c r="N141" s="16"/>
      <c r="O141" s="16"/>
      <c r="P141" s="17">
        <f>SUM(O141:O143)</f>
        <v>372.12</v>
      </c>
    </row>
    <row r="142" spans="1:16" ht="15" customHeight="1" x14ac:dyDescent="0.25">
      <c r="A142" s="16" t="s">
        <v>230</v>
      </c>
      <c r="B142" s="84" t="s">
        <v>11</v>
      </c>
      <c r="C142" s="85"/>
      <c r="D142" s="85"/>
      <c r="E142" s="85"/>
      <c r="F142" s="86"/>
      <c r="G142" s="16"/>
      <c r="H142" s="17"/>
      <c r="I142" s="17"/>
      <c r="J142" s="17"/>
      <c r="K142" s="17"/>
      <c r="L142" s="17"/>
      <c r="M142" s="17">
        <v>372.12</v>
      </c>
      <c r="N142" s="17" t="str">
        <f>IF(OR(COUNTA(J142:L142)=3,AND(COUNTA(J142:L142)=1,M142&lt;&gt;"")),ROUND(PRODUCT(J142:M142),2),"")</f>
        <v/>
      </c>
      <c r="O142" s="17">
        <f>IF(N142&lt;&gt;"",ROUND(PRODUCT(H142,I142,N142),2),IF(M142&lt;&gt;"",ROUND(PRODUCT(H142,I142,M142),2),ROUND(PRODUCT(H142:L142),2)))</f>
        <v>372.12</v>
      </c>
      <c r="P142" s="17"/>
    </row>
    <row r="143" spans="1:16" ht="15" customHeight="1" x14ac:dyDescent="0.25">
      <c r="A143" s="3"/>
      <c r="B143" s="3"/>
      <c r="C143" s="3"/>
      <c r="D143" s="3"/>
      <c r="E143" s="3"/>
      <c r="F143" s="3"/>
      <c r="G143" s="3"/>
      <c r="H143" s="3"/>
      <c r="I143" s="3"/>
      <c r="J143" s="3"/>
      <c r="K143" s="3"/>
      <c r="L143" s="3"/>
      <c r="M143" s="3"/>
      <c r="N143" s="3"/>
      <c r="O143" s="3"/>
      <c r="P143" s="3"/>
    </row>
    <row r="144" spans="1:16" ht="45" customHeight="1" x14ac:dyDescent="0.25">
      <c r="A144" s="16" t="s">
        <v>73</v>
      </c>
      <c r="B144" s="16" t="s">
        <v>231</v>
      </c>
      <c r="C144" s="84" t="str">
        <f>VLOOKUP(B144,COMPOSICAO!B:K,2,FALSE)</f>
        <v>PINTURA DE ACABAMENTO COM APLICAÇÃO DE 02 DEMÃOS DE ESMALTE  SINTÉTICO SOBRE SUPERFÍCIES METÁLICAS - R1</v>
      </c>
      <c r="D144" s="85"/>
      <c r="E144" s="85"/>
      <c r="F144" s="86"/>
      <c r="G144" s="16" t="str">
        <f>VLOOKUP(B144,COMPOSICAO!B:K,6,FALSE)</f>
        <v>M2</v>
      </c>
      <c r="H144" s="16"/>
      <c r="I144" s="16"/>
      <c r="J144" s="16"/>
      <c r="K144" s="16"/>
      <c r="L144" s="16"/>
      <c r="M144" s="16"/>
      <c r="N144" s="16"/>
      <c r="O144" s="16"/>
      <c r="P144" s="17">
        <f>SUM(O144:O147)</f>
        <v>38.76</v>
      </c>
    </row>
    <row r="145" spans="1:16" ht="15" customHeight="1" x14ac:dyDescent="0.25">
      <c r="A145" s="16" t="s">
        <v>232</v>
      </c>
      <c r="B145" s="84" t="s">
        <v>233</v>
      </c>
      <c r="C145" s="85"/>
      <c r="D145" s="85"/>
      <c r="E145" s="85"/>
      <c r="F145" s="86"/>
      <c r="G145" s="16"/>
      <c r="H145" s="17">
        <v>2</v>
      </c>
      <c r="I145" s="17"/>
      <c r="J145" s="17"/>
      <c r="K145" s="17"/>
      <c r="L145" s="17"/>
      <c r="M145" s="17">
        <v>14</v>
      </c>
      <c r="N145" s="17" t="str">
        <f>IF(OR(COUNTA(J145:L145)=3,AND(COUNTA(J145:L145)=1,M145&lt;&gt;"")),ROUND(PRODUCT(J145:M145),2),"")</f>
        <v/>
      </c>
      <c r="O145" s="17">
        <f>IF(N145&lt;&gt;"",ROUND(PRODUCT(H145,I145,N145),2),IF(M145&lt;&gt;"",ROUND(PRODUCT(H145,I145,M145),2),ROUND(PRODUCT(H145:L145),2)))</f>
        <v>28</v>
      </c>
      <c r="P145" s="17"/>
    </row>
    <row r="146" spans="1:16" ht="15" customHeight="1" x14ac:dyDescent="0.25">
      <c r="A146" s="16" t="s">
        <v>234</v>
      </c>
      <c r="B146" s="84" t="s">
        <v>235</v>
      </c>
      <c r="C146" s="85"/>
      <c r="D146" s="85"/>
      <c r="E146" s="85"/>
      <c r="F146" s="86"/>
      <c r="G146" s="16"/>
      <c r="H146" s="17">
        <v>2</v>
      </c>
      <c r="I146" s="17"/>
      <c r="J146" s="17"/>
      <c r="K146" s="17"/>
      <c r="L146" s="17"/>
      <c r="M146" s="17">
        <v>5.38</v>
      </c>
      <c r="N146" s="17" t="str">
        <f>IF(OR(COUNTA(J146:L146)=3,AND(COUNTA(J146:L146)=1,M146&lt;&gt;"")),ROUND(PRODUCT(J146:M146),2),"")</f>
        <v/>
      </c>
      <c r="O146" s="17">
        <f>IF(N146&lt;&gt;"",ROUND(PRODUCT(H146,I146,N146),2),IF(M146&lt;&gt;"",ROUND(PRODUCT(H146,I146,M146),2),ROUND(PRODUCT(H146:L146),2)))</f>
        <v>10.76</v>
      </c>
      <c r="P146" s="17"/>
    </row>
    <row r="147" spans="1:16" ht="15" customHeight="1" x14ac:dyDescent="0.25">
      <c r="A147" s="3"/>
      <c r="B147" s="3"/>
      <c r="C147" s="3"/>
      <c r="D147" s="3"/>
      <c r="E147" s="3"/>
      <c r="F147" s="3"/>
      <c r="G147" s="3"/>
      <c r="H147" s="3"/>
      <c r="I147" s="3"/>
      <c r="J147" s="3"/>
      <c r="K147" s="3"/>
      <c r="L147" s="3"/>
      <c r="M147" s="3"/>
      <c r="N147" s="3"/>
      <c r="O147" s="3"/>
      <c r="P147" s="3"/>
    </row>
    <row r="148" spans="1:16" ht="15" customHeight="1" x14ac:dyDescent="0.25">
      <c r="A148" s="15">
        <v>10</v>
      </c>
      <c r="B148" s="87" t="s">
        <v>236</v>
      </c>
      <c r="C148" s="88"/>
      <c r="D148" s="88"/>
      <c r="E148" s="88"/>
      <c r="F148" s="88"/>
      <c r="G148" s="88"/>
      <c r="H148" s="88"/>
      <c r="I148" s="88"/>
      <c r="J148" s="88"/>
      <c r="K148" s="88"/>
      <c r="L148" s="88"/>
      <c r="M148" s="88"/>
      <c r="N148" s="88"/>
      <c r="O148" s="88"/>
      <c r="P148" s="89"/>
    </row>
    <row r="149" spans="1:16" ht="75" customHeight="1" x14ac:dyDescent="0.25">
      <c r="A149" s="16" t="s">
        <v>74</v>
      </c>
      <c r="B149" s="20">
        <v>89957</v>
      </c>
      <c r="C149" s="84" t="str">
        <f>VLOOKUP(B149,COMPOSICAO!B:K,2,FALSE)</f>
        <v>PONTO DE CONSUMO TERMINAL DE ÁGUA FRIA (SUBRAMAL) COM TUBULAÇÃO DE PVC, DN 25 MM, INSTALADO EM RAMAL DE ÁGUA, INCLUSOS RASGO E CHUMBAMENTO EM ALVENARIA. AF_12/2014</v>
      </c>
      <c r="D149" s="85"/>
      <c r="E149" s="85"/>
      <c r="F149" s="86"/>
      <c r="G149" s="16" t="str">
        <f>VLOOKUP(B149,COMPOSICAO!B:K,6,FALSE)</f>
        <v>UN</v>
      </c>
      <c r="H149" s="16"/>
      <c r="I149" s="16"/>
      <c r="J149" s="16"/>
      <c r="K149" s="16"/>
      <c r="L149" s="16"/>
      <c r="M149" s="16"/>
      <c r="N149" s="16"/>
      <c r="O149" s="16"/>
      <c r="P149" s="17">
        <f>SUM(O149:O151)</f>
        <v>10</v>
      </c>
    </row>
    <row r="150" spans="1:16" ht="15" customHeight="1" x14ac:dyDescent="0.25">
      <c r="A150" s="16" t="s">
        <v>237</v>
      </c>
      <c r="B150" s="84" t="s">
        <v>11</v>
      </c>
      <c r="C150" s="85"/>
      <c r="D150" s="85"/>
      <c r="E150" s="85"/>
      <c r="F150" s="86"/>
      <c r="G150" s="16"/>
      <c r="H150" s="17">
        <v>10</v>
      </c>
      <c r="I150" s="17"/>
      <c r="J150" s="17"/>
      <c r="K150" s="17"/>
      <c r="L150" s="17"/>
      <c r="M150" s="17" t="str">
        <f>IF(COUNTA(J150:L150)=2,ROUND(PRODUCT(J150:L150),2),"")</f>
        <v/>
      </c>
      <c r="N150" s="17" t="str">
        <f>IF(OR(COUNTA(J150:L150)=3,AND(COUNTA(J150:L150)=1,M150&lt;&gt;"")),ROUND(PRODUCT(J150:M150),2),"")</f>
        <v/>
      </c>
      <c r="O150" s="17">
        <f>IF(N150&lt;&gt;"",ROUND(PRODUCT(H150,I150,N150),2),IF(M150&lt;&gt;"",ROUND(PRODUCT(H150,I150,M150),2),ROUND(PRODUCT(H150:L150),2)))</f>
        <v>10</v>
      </c>
      <c r="P150" s="17"/>
    </row>
    <row r="151" spans="1:16" ht="15" customHeight="1" x14ac:dyDescent="0.25">
      <c r="A151" s="3"/>
      <c r="B151" s="3"/>
      <c r="C151" s="3"/>
      <c r="D151" s="3"/>
      <c r="E151" s="3"/>
      <c r="F151" s="3"/>
      <c r="G151" s="3"/>
      <c r="H151" s="3"/>
      <c r="I151" s="3"/>
      <c r="J151" s="3"/>
      <c r="K151" s="3"/>
      <c r="L151" s="3"/>
      <c r="M151" s="3"/>
      <c r="N151" s="3"/>
      <c r="O151" s="3"/>
      <c r="P151" s="3"/>
    </row>
    <row r="152" spans="1:16" ht="30" customHeight="1" x14ac:dyDescent="0.25">
      <c r="A152" s="16" t="s">
        <v>75</v>
      </c>
      <c r="B152" s="16" t="s">
        <v>238</v>
      </c>
      <c r="C152" s="84" t="str">
        <f>VLOOKUP(B152,COMPOSICAO!B:K,2,FALSE)</f>
        <v>CAIXA D'AGUA DE POLIETILENO - INSTALADA, EXCETO BASE DE APOIO, CAP. 500 LITROS</v>
      </c>
      <c r="D152" s="85"/>
      <c r="E152" s="85"/>
      <c r="F152" s="86"/>
      <c r="G152" s="16" t="str">
        <f>VLOOKUP(B152,COMPOSICAO!B:K,6,FALSE)</f>
        <v>UN</v>
      </c>
      <c r="H152" s="16"/>
      <c r="I152" s="16"/>
      <c r="J152" s="16"/>
      <c r="K152" s="16"/>
      <c r="L152" s="16"/>
      <c r="M152" s="16"/>
      <c r="N152" s="16"/>
      <c r="O152" s="16"/>
      <c r="P152" s="17">
        <f>SUM(O152:O154)</f>
        <v>2</v>
      </c>
    </row>
    <row r="153" spans="1:16" ht="15" customHeight="1" x14ac:dyDescent="0.25">
      <c r="A153" s="16" t="s">
        <v>239</v>
      </c>
      <c r="B153" s="84" t="s">
        <v>11</v>
      </c>
      <c r="C153" s="85"/>
      <c r="D153" s="85"/>
      <c r="E153" s="85"/>
      <c r="F153" s="86"/>
      <c r="G153" s="16"/>
      <c r="H153" s="17">
        <v>2</v>
      </c>
      <c r="I153" s="17"/>
      <c r="J153" s="17"/>
      <c r="K153" s="17"/>
      <c r="L153" s="17"/>
      <c r="M153" s="17" t="str">
        <f>IF(COUNTA(J153:L153)=2,ROUND(PRODUCT(J153:L153),2),"")</f>
        <v/>
      </c>
      <c r="N153" s="17" t="str">
        <f>IF(OR(COUNTA(J153:L153)=3,AND(COUNTA(J153:L153)=1,M153&lt;&gt;"")),ROUND(PRODUCT(J153:M153),2),"")</f>
        <v/>
      </c>
      <c r="O153" s="17">
        <f>IF(N153&lt;&gt;"",ROUND(PRODUCT(H153,I153,N153),2),IF(M153&lt;&gt;"",ROUND(PRODUCT(H153,I153,M153),2),ROUND(PRODUCT(H153:L153),2)))</f>
        <v>2</v>
      </c>
      <c r="P153" s="17"/>
    </row>
    <row r="154" spans="1:16" ht="15" customHeight="1" x14ac:dyDescent="0.25">
      <c r="A154" s="3"/>
      <c r="B154" s="3"/>
      <c r="C154" s="3"/>
      <c r="D154" s="3"/>
      <c r="E154" s="3"/>
      <c r="F154" s="3"/>
      <c r="G154" s="3"/>
      <c r="H154" s="3"/>
      <c r="I154" s="3"/>
      <c r="J154" s="3"/>
      <c r="K154" s="3"/>
      <c r="L154" s="3"/>
      <c r="M154" s="3"/>
      <c r="N154" s="3"/>
      <c r="O154" s="3"/>
      <c r="P154" s="3"/>
    </row>
    <row r="155" spans="1:16" ht="105" customHeight="1" x14ac:dyDescent="0.25">
      <c r="A155" s="16" t="s">
        <v>76</v>
      </c>
      <c r="B155" s="20">
        <v>91785</v>
      </c>
      <c r="C155" s="84" t="str">
        <f>VLOOKUP(B155,COMPOSICAO!B:K,2,FALSE)</f>
        <v>(COMPOSIÇÃO REPRESENTATIVA) DO SERVIÇO DE INSTALAÇÃO DE TUBOS DE PVC, SOLDÁVEL, ÁGUA FRIA, DN 25 MM (INSTALADO EM RAMAL, SUB-RAMAL, RAMAL DE DISTRIBUIÇÃO OU PRUMADA), INCLUSIVE CONEXÕES, CORTES E FIXAÇÕES, PARA PRÉDIOS. AF_10/2015</v>
      </c>
      <c r="D155" s="85"/>
      <c r="E155" s="85"/>
      <c r="F155" s="86"/>
      <c r="G155" s="16" t="str">
        <f>VLOOKUP(B155,COMPOSICAO!B:K,6,FALSE)</f>
        <v>M</v>
      </c>
      <c r="H155" s="16"/>
      <c r="I155" s="16"/>
      <c r="J155" s="16"/>
      <c r="K155" s="16"/>
      <c r="L155" s="16"/>
      <c r="M155" s="16"/>
      <c r="N155" s="16"/>
      <c r="O155" s="16"/>
      <c r="P155" s="17">
        <f>SUM(O155:O157)</f>
        <v>36</v>
      </c>
    </row>
    <row r="156" spans="1:16" ht="15" customHeight="1" x14ac:dyDescent="0.25">
      <c r="A156" s="16" t="s">
        <v>240</v>
      </c>
      <c r="B156" s="84" t="s">
        <v>11</v>
      </c>
      <c r="C156" s="85"/>
      <c r="D156" s="85"/>
      <c r="E156" s="85"/>
      <c r="F156" s="86"/>
      <c r="G156" s="16"/>
      <c r="H156" s="17">
        <v>36</v>
      </c>
      <c r="I156" s="17"/>
      <c r="J156" s="17"/>
      <c r="K156" s="17"/>
      <c r="L156" s="17"/>
      <c r="M156" s="17" t="str">
        <f>IF(COUNTA(J156:L156)=2,ROUND(PRODUCT(J156:L156),2),"")</f>
        <v/>
      </c>
      <c r="N156" s="17" t="str">
        <f>IF(OR(COUNTA(J156:L156)=3,AND(COUNTA(J156:L156)=1,M156&lt;&gt;"")),ROUND(PRODUCT(J156:M156),2),"")</f>
        <v/>
      </c>
      <c r="O156" s="17">
        <f>IF(N156&lt;&gt;"",ROUND(PRODUCT(H156,I156,N156),2),IF(M156&lt;&gt;"",ROUND(PRODUCT(H156,I156,M156),2),ROUND(PRODUCT(H156:L156),2)))</f>
        <v>36</v>
      </c>
      <c r="P156" s="17"/>
    </row>
    <row r="157" spans="1:16" ht="15" customHeight="1" x14ac:dyDescent="0.25">
      <c r="A157" s="3"/>
      <c r="B157" s="3"/>
      <c r="C157" s="3"/>
      <c r="D157" s="3"/>
      <c r="E157" s="3"/>
      <c r="F157" s="3"/>
      <c r="G157" s="3"/>
      <c r="H157" s="3"/>
      <c r="I157" s="3"/>
      <c r="J157" s="3"/>
      <c r="K157" s="3"/>
      <c r="L157" s="3"/>
      <c r="M157" s="3"/>
      <c r="N157" s="3"/>
      <c r="O157" s="3"/>
      <c r="P157" s="3"/>
    </row>
    <row r="158" spans="1:16" ht="15" customHeight="1" x14ac:dyDescent="0.25">
      <c r="A158" s="15">
        <v>11</v>
      </c>
      <c r="B158" s="87" t="s">
        <v>241</v>
      </c>
      <c r="C158" s="88"/>
      <c r="D158" s="88"/>
      <c r="E158" s="88"/>
      <c r="F158" s="88"/>
      <c r="G158" s="88"/>
      <c r="H158" s="88"/>
      <c r="I158" s="88"/>
      <c r="J158" s="88"/>
      <c r="K158" s="88"/>
      <c r="L158" s="88"/>
      <c r="M158" s="88"/>
      <c r="N158" s="88"/>
      <c r="O158" s="88"/>
      <c r="P158" s="89"/>
    </row>
    <row r="159" spans="1:16" ht="45" customHeight="1" x14ac:dyDescent="0.25">
      <c r="A159" s="16" t="s">
        <v>77</v>
      </c>
      <c r="B159" s="16" t="s">
        <v>242</v>
      </c>
      <c r="C159" s="84" t="str">
        <f>VLOOKUP(B159,COMPOSICAO!B:K,2,FALSE)</f>
        <v>PONTO DE ESGOTO COM TUBO DE PVC RÍGIDO SOLDÁVEL DE  Ø 40 MM (LAVATÓRIOS, MICTÓRIOS, RALOS SIFONADOS, ETC...)</v>
      </c>
      <c r="D159" s="85"/>
      <c r="E159" s="85"/>
      <c r="F159" s="86"/>
      <c r="G159" s="16" t="str">
        <f>VLOOKUP(B159,COMPOSICAO!B:K,6,FALSE)</f>
        <v>UN</v>
      </c>
      <c r="H159" s="16"/>
      <c r="I159" s="16"/>
      <c r="J159" s="16"/>
      <c r="K159" s="16"/>
      <c r="L159" s="16"/>
      <c r="M159" s="16"/>
      <c r="N159" s="16"/>
      <c r="O159" s="16"/>
      <c r="P159" s="17">
        <f>SUM(O159:O161)</f>
        <v>4</v>
      </c>
    </row>
    <row r="160" spans="1:16" ht="15" customHeight="1" x14ac:dyDescent="0.25">
      <c r="A160" s="16" t="s">
        <v>243</v>
      </c>
      <c r="B160" s="84" t="s">
        <v>11</v>
      </c>
      <c r="C160" s="85"/>
      <c r="D160" s="85"/>
      <c r="E160" s="85"/>
      <c r="F160" s="86"/>
      <c r="G160" s="16"/>
      <c r="H160" s="17">
        <v>4</v>
      </c>
      <c r="I160" s="17"/>
      <c r="J160" s="17"/>
      <c r="K160" s="17"/>
      <c r="L160" s="17"/>
      <c r="M160" s="17" t="str">
        <f>IF(COUNTA(J160:L160)=2,ROUND(PRODUCT(J160:L160),2),"")</f>
        <v/>
      </c>
      <c r="N160" s="17" t="str">
        <f>IF(OR(COUNTA(J160:L160)=3,AND(COUNTA(J160:L160)=1,M160&lt;&gt;"")),ROUND(PRODUCT(J160:M160),2),"")</f>
        <v/>
      </c>
      <c r="O160" s="17">
        <f>IF(N160&lt;&gt;"",ROUND(PRODUCT(H160,I160,N160),2),IF(M160&lt;&gt;"",ROUND(PRODUCT(H160,I160,M160),2),ROUND(PRODUCT(H160:L160),2)))</f>
        <v>4</v>
      </c>
      <c r="P160" s="17"/>
    </row>
    <row r="161" spans="1:16" ht="15" customHeight="1" x14ac:dyDescent="0.25">
      <c r="A161" s="3"/>
      <c r="B161" s="3"/>
      <c r="C161" s="3"/>
      <c r="D161" s="3"/>
      <c r="E161" s="3"/>
      <c r="F161" s="3"/>
      <c r="G161" s="3"/>
      <c r="H161" s="3"/>
      <c r="I161" s="3"/>
      <c r="J161" s="3"/>
      <c r="K161" s="3"/>
      <c r="L161" s="3"/>
      <c r="M161" s="3"/>
      <c r="N161" s="3"/>
      <c r="O161" s="3"/>
      <c r="P161" s="3"/>
    </row>
    <row r="162" spans="1:16" ht="30" customHeight="1" x14ac:dyDescent="0.25">
      <c r="A162" s="16" t="s">
        <v>78</v>
      </c>
      <c r="B162" s="16" t="s">
        <v>244</v>
      </c>
      <c r="C162" s="84" t="str">
        <f>VLOOKUP(B162,COMPOSICAO!B:K,2,FALSE)</f>
        <v>PONTO DE ESGOTO COM TUBO DE PVC RÍGIDO SOLDÁVEL DE Ø 100 MM (VASO SANITÁRIO)</v>
      </c>
      <c r="D162" s="85"/>
      <c r="E162" s="85"/>
      <c r="F162" s="86"/>
      <c r="G162" s="16" t="str">
        <f>VLOOKUP(B162,COMPOSICAO!B:K,6,FALSE)</f>
        <v>PT</v>
      </c>
      <c r="H162" s="16"/>
      <c r="I162" s="16"/>
      <c r="J162" s="16"/>
      <c r="K162" s="16"/>
      <c r="L162" s="16"/>
      <c r="M162" s="16"/>
      <c r="N162" s="16"/>
      <c r="O162" s="16"/>
      <c r="P162" s="17">
        <f>SUM(O162:O164)</f>
        <v>6</v>
      </c>
    </row>
    <row r="163" spans="1:16" ht="15" customHeight="1" x14ac:dyDescent="0.25">
      <c r="A163" s="16" t="s">
        <v>245</v>
      </c>
      <c r="B163" s="84" t="s">
        <v>11</v>
      </c>
      <c r="C163" s="85"/>
      <c r="D163" s="85"/>
      <c r="E163" s="85"/>
      <c r="F163" s="86"/>
      <c r="G163" s="16"/>
      <c r="H163" s="17">
        <v>6</v>
      </c>
      <c r="I163" s="17"/>
      <c r="J163" s="17"/>
      <c r="K163" s="17"/>
      <c r="L163" s="17"/>
      <c r="M163" s="17" t="str">
        <f>IF(COUNTA(J163:L163)=2,ROUND(PRODUCT(J163:L163),2),"")</f>
        <v/>
      </c>
      <c r="N163" s="17" t="str">
        <f>IF(OR(COUNTA(J163:L163)=3,AND(COUNTA(J163:L163)=1,M163&lt;&gt;"")),ROUND(PRODUCT(J163:M163),2),"")</f>
        <v/>
      </c>
      <c r="O163" s="17">
        <f>IF(N163&lt;&gt;"",ROUND(PRODUCT(H163,I163,N163),2),IF(M163&lt;&gt;"",ROUND(PRODUCT(H163,I163,M163),2),ROUND(PRODUCT(H163:L163),2)))</f>
        <v>6</v>
      </c>
      <c r="P163" s="17"/>
    </row>
    <row r="164" spans="1:16" ht="15" customHeight="1" x14ac:dyDescent="0.25">
      <c r="A164" s="3"/>
      <c r="B164" s="3"/>
      <c r="C164" s="3"/>
      <c r="D164" s="3"/>
      <c r="E164" s="3"/>
      <c r="F164" s="3"/>
      <c r="G164" s="3"/>
      <c r="H164" s="3"/>
      <c r="I164" s="3"/>
      <c r="J164" s="3"/>
      <c r="K164" s="3"/>
      <c r="L164" s="3"/>
      <c r="M164" s="3"/>
      <c r="N164" s="3"/>
      <c r="O164" s="3"/>
      <c r="P164" s="3"/>
    </row>
    <row r="165" spans="1:16" ht="45" customHeight="1" x14ac:dyDescent="0.25">
      <c r="A165" s="16" t="s">
        <v>79</v>
      </c>
      <c r="B165" s="16" t="s">
        <v>246</v>
      </c>
      <c r="C165" s="84" t="str">
        <f>VLOOKUP(B165,COMPOSICAO!B:K,2,FALSE)</f>
        <v>RALO SIFONADO EM PVC D = 100 MM ALTURA REGULÁVEL, SAÍDA 40 MM, COM GRELHA REDONDA ACABAMENTO CROMADO</v>
      </c>
      <c r="D165" s="85"/>
      <c r="E165" s="85"/>
      <c r="F165" s="86"/>
      <c r="G165" s="16" t="str">
        <f>VLOOKUP(B165,COMPOSICAO!B:K,6,FALSE)</f>
        <v>UN</v>
      </c>
      <c r="H165" s="16"/>
      <c r="I165" s="16"/>
      <c r="J165" s="16"/>
      <c r="K165" s="16"/>
      <c r="L165" s="16"/>
      <c r="M165" s="16"/>
      <c r="N165" s="16"/>
      <c r="O165" s="16"/>
      <c r="P165" s="17">
        <f>SUM(O165:O167)</f>
        <v>6</v>
      </c>
    </row>
    <row r="166" spans="1:16" ht="15" customHeight="1" x14ac:dyDescent="0.25">
      <c r="A166" s="16" t="s">
        <v>247</v>
      </c>
      <c r="B166" s="84" t="s">
        <v>11</v>
      </c>
      <c r="C166" s="85"/>
      <c r="D166" s="85"/>
      <c r="E166" s="85"/>
      <c r="F166" s="86"/>
      <c r="G166" s="16"/>
      <c r="H166" s="17">
        <v>6</v>
      </c>
      <c r="I166" s="17"/>
      <c r="J166" s="17"/>
      <c r="K166" s="17"/>
      <c r="L166" s="17"/>
      <c r="M166" s="17" t="str">
        <f>IF(COUNTA(J166:L166)=2,ROUND(PRODUCT(J166:L166),2),"")</f>
        <v/>
      </c>
      <c r="N166" s="17" t="str">
        <f>IF(OR(COUNTA(J166:L166)=3,AND(COUNTA(J166:L166)=1,M166&lt;&gt;"")),ROUND(PRODUCT(J166:M166),2),"")</f>
        <v/>
      </c>
      <c r="O166" s="17">
        <f>IF(N166&lt;&gt;"",ROUND(PRODUCT(H166,I166,N166),2),IF(M166&lt;&gt;"",ROUND(PRODUCT(H166,I166,M166),2),ROUND(PRODUCT(H166:L166),2)))</f>
        <v>6</v>
      </c>
      <c r="P166" s="17"/>
    </row>
    <row r="167" spans="1:16" ht="15" customHeight="1" x14ac:dyDescent="0.25">
      <c r="A167" s="3"/>
      <c r="B167" s="3"/>
      <c r="C167" s="3"/>
      <c r="D167" s="3"/>
      <c r="E167" s="3"/>
      <c r="F167" s="3"/>
      <c r="G167" s="3"/>
      <c r="H167" s="3"/>
      <c r="I167" s="3"/>
      <c r="J167" s="3"/>
      <c r="K167" s="3"/>
      <c r="L167" s="3"/>
      <c r="M167" s="3"/>
      <c r="N167" s="3"/>
      <c r="O167" s="3"/>
      <c r="P167" s="3"/>
    </row>
    <row r="168" spans="1:16" ht="15" customHeight="1" x14ac:dyDescent="0.25">
      <c r="A168" s="16" t="s">
        <v>80</v>
      </c>
      <c r="B168" s="16" t="s">
        <v>248</v>
      </c>
      <c r="C168" s="84" t="str">
        <f>VLOOKUP(B168,COMPOSICAO!B:K,2,FALSE)</f>
        <v>CAIXA DE INSPEÇÃO  0.60 X 0.60 X 0.60M</v>
      </c>
      <c r="D168" s="85"/>
      <c r="E168" s="85"/>
      <c r="F168" s="86"/>
      <c r="G168" s="16" t="str">
        <f>VLOOKUP(B168,COMPOSICAO!B:K,6,FALSE)</f>
        <v>UN</v>
      </c>
      <c r="H168" s="16"/>
      <c r="I168" s="16"/>
      <c r="J168" s="16"/>
      <c r="K168" s="16"/>
      <c r="L168" s="16"/>
      <c r="M168" s="16"/>
      <c r="N168" s="16"/>
      <c r="O168" s="16"/>
      <c r="P168" s="17">
        <f>SUM(O168:O170)</f>
        <v>2</v>
      </c>
    </row>
    <row r="169" spans="1:16" ht="15" customHeight="1" x14ac:dyDescent="0.25">
      <c r="A169" s="16" t="s">
        <v>249</v>
      </c>
      <c r="B169" s="84" t="s">
        <v>11</v>
      </c>
      <c r="C169" s="85"/>
      <c r="D169" s="85"/>
      <c r="E169" s="85"/>
      <c r="F169" s="86"/>
      <c r="G169" s="16"/>
      <c r="H169" s="17">
        <v>2</v>
      </c>
      <c r="I169" s="17"/>
      <c r="J169" s="17"/>
      <c r="K169" s="17"/>
      <c r="L169" s="17"/>
      <c r="M169" s="17" t="str">
        <f>IF(COUNTA(J169:L169)=2,ROUND(PRODUCT(J169:L169),2),"")</f>
        <v/>
      </c>
      <c r="N169" s="17" t="str">
        <f>IF(OR(COUNTA(J169:L169)=3,AND(COUNTA(J169:L169)=1,M169&lt;&gt;"")),ROUND(PRODUCT(J169:M169),2),"")</f>
        <v/>
      </c>
      <c r="O169" s="17">
        <f>IF(N169&lt;&gt;"",ROUND(PRODUCT(H169,I169,N169),2),IF(M169&lt;&gt;"",ROUND(PRODUCT(H169,I169,M169),2),ROUND(PRODUCT(H169:L169),2)))</f>
        <v>2</v>
      </c>
      <c r="P169" s="17"/>
    </row>
    <row r="170" spans="1:16" ht="15" customHeight="1" x14ac:dyDescent="0.25">
      <c r="A170" s="3"/>
      <c r="B170" s="3"/>
      <c r="C170" s="3"/>
      <c r="D170" s="3"/>
      <c r="E170" s="3"/>
      <c r="F170" s="3"/>
      <c r="G170" s="3"/>
      <c r="H170" s="3"/>
      <c r="I170" s="3"/>
      <c r="J170" s="3"/>
      <c r="K170" s="3"/>
      <c r="L170" s="3"/>
      <c r="M170" s="3"/>
      <c r="N170" s="3"/>
      <c r="O170" s="3"/>
      <c r="P170" s="3"/>
    </row>
    <row r="171" spans="1:16" ht="105" customHeight="1" x14ac:dyDescent="0.25">
      <c r="A171" s="16" t="s">
        <v>81</v>
      </c>
      <c r="B171" s="20">
        <v>91795</v>
      </c>
      <c r="C171" s="84" t="str">
        <f>VLOOKUP(B171,COMPOSICAO!B:K,2,FALSE)</f>
        <v>(COMPOSIÇÃO REPRESENTATIVA) DO SERVIÇO DE INST. TUBO PVC, SÉRIE N, ESGOTO PREDIAL, 100 MM (INST. RAMAL DESCARGA, RAMAL DE ESG. SANIT., PRUMADA ESG. SANIT., VENTILAÇÃO OU SUB-COLETOR AÉREO), INCL. CONEXÕES E CORTES, FIXAÇÕES, P/ PRÉDIOS. AF_10/2015</v>
      </c>
      <c r="D171" s="85"/>
      <c r="E171" s="85"/>
      <c r="F171" s="86"/>
      <c r="G171" s="16" t="str">
        <f>VLOOKUP(B171,COMPOSICAO!B:K,6,FALSE)</f>
        <v>M</v>
      </c>
      <c r="H171" s="16"/>
      <c r="I171" s="16"/>
      <c r="J171" s="16"/>
      <c r="K171" s="16"/>
      <c r="L171" s="16"/>
      <c r="M171" s="16"/>
      <c r="N171" s="16"/>
      <c r="O171" s="16"/>
      <c r="P171" s="17">
        <f>SUM(O171:O173)</f>
        <v>25</v>
      </c>
    </row>
    <row r="172" spans="1:16" ht="15" customHeight="1" x14ac:dyDescent="0.25">
      <c r="A172" s="16" t="s">
        <v>250</v>
      </c>
      <c r="B172" s="84" t="s">
        <v>251</v>
      </c>
      <c r="C172" s="85"/>
      <c r="D172" s="85"/>
      <c r="E172" s="85"/>
      <c r="F172" s="86"/>
      <c r="G172" s="16"/>
      <c r="H172" s="17"/>
      <c r="I172" s="17"/>
      <c r="J172" s="17">
        <v>25</v>
      </c>
      <c r="K172" s="17"/>
      <c r="L172" s="17"/>
      <c r="M172" s="17" t="str">
        <f>IF(COUNTA(J172:L172)=2,ROUND(PRODUCT(J172:L172),2),"")</f>
        <v/>
      </c>
      <c r="N172" s="17" t="str">
        <f>IF(OR(COUNTA(J172:L172)=3,AND(COUNTA(J172:L172)=1,M172&lt;&gt;"")),ROUND(PRODUCT(J172:M172),2),"")</f>
        <v/>
      </c>
      <c r="O172" s="17">
        <f>IF(N172&lt;&gt;"",ROUND(PRODUCT(H172,I172,N172),2),IF(M172&lt;&gt;"",ROUND(PRODUCT(H172,I172,M172),2),ROUND(PRODUCT(H172:L172),2)))</f>
        <v>25</v>
      </c>
      <c r="P172" s="17"/>
    </row>
    <row r="173" spans="1:16" ht="15" customHeight="1" x14ac:dyDescent="0.25">
      <c r="A173" s="3"/>
      <c r="B173" s="3"/>
      <c r="C173" s="3"/>
      <c r="D173" s="3"/>
      <c r="E173" s="3"/>
      <c r="F173" s="3"/>
      <c r="G173" s="3"/>
      <c r="H173" s="3"/>
      <c r="I173" s="3"/>
      <c r="J173" s="3"/>
      <c r="K173" s="3"/>
      <c r="L173" s="3"/>
      <c r="M173" s="3"/>
      <c r="N173" s="3"/>
      <c r="O173" s="3"/>
      <c r="P173" s="3"/>
    </row>
    <row r="174" spans="1:16" ht="30" customHeight="1" x14ac:dyDescent="0.25">
      <c r="A174" s="16" t="s">
        <v>82</v>
      </c>
      <c r="B174" s="16" t="s">
        <v>252</v>
      </c>
      <c r="C174" s="84" t="str">
        <f>VLOOKUP(B174,COMPOSICAO!B:K,2,FALSE)</f>
        <v>FOSSA SÉPTICA E SUMIDOURO EM ANÉIS D=1,20M</v>
      </c>
      <c r="D174" s="85"/>
      <c r="E174" s="85"/>
      <c r="F174" s="86"/>
      <c r="G174" s="16" t="str">
        <f>VLOOKUP(B174,COMPOSICAO!B:K,6,FALSE)</f>
        <v>UN</v>
      </c>
      <c r="H174" s="16"/>
      <c r="I174" s="16"/>
      <c r="J174" s="16"/>
      <c r="K174" s="16"/>
      <c r="L174" s="16"/>
      <c r="M174" s="16"/>
      <c r="N174" s="16"/>
      <c r="O174" s="16"/>
      <c r="P174" s="17">
        <f>SUM(O174:O176)</f>
        <v>1</v>
      </c>
    </row>
    <row r="175" spans="1:16" ht="15" customHeight="1" x14ac:dyDescent="0.25">
      <c r="A175" s="16" t="s">
        <v>253</v>
      </c>
      <c r="B175" s="84" t="s">
        <v>11</v>
      </c>
      <c r="C175" s="85"/>
      <c r="D175" s="85"/>
      <c r="E175" s="85"/>
      <c r="F175" s="86"/>
      <c r="G175" s="16"/>
      <c r="H175" s="17">
        <v>1</v>
      </c>
      <c r="I175" s="17"/>
      <c r="J175" s="17"/>
      <c r="K175" s="17"/>
      <c r="L175" s="17"/>
      <c r="M175" s="17" t="str">
        <f>IF(COUNTA(J175:L175)=2,ROUND(PRODUCT(J175:L175),2),"")</f>
        <v/>
      </c>
      <c r="N175" s="17" t="str">
        <f>IF(OR(COUNTA(J175:L175)=3,AND(COUNTA(J175:L175)=1,M175&lt;&gt;"")),ROUND(PRODUCT(J175:M175),2),"")</f>
        <v/>
      </c>
      <c r="O175" s="17">
        <f>IF(N175&lt;&gt;"",ROUND(PRODUCT(H175,I175,N175),2),IF(M175&lt;&gt;"",ROUND(PRODUCT(H175,I175,M175),2),ROUND(PRODUCT(H175:L175),2)))</f>
        <v>1</v>
      </c>
      <c r="P175" s="17"/>
    </row>
    <row r="176" spans="1:16" ht="15" customHeight="1" x14ac:dyDescent="0.25">
      <c r="A176" s="3"/>
      <c r="B176" s="3"/>
      <c r="C176" s="3"/>
      <c r="D176" s="3"/>
      <c r="E176" s="3"/>
      <c r="F176" s="3"/>
      <c r="G176" s="3"/>
      <c r="H176" s="3"/>
      <c r="I176" s="3"/>
      <c r="J176" s="3"/>
      <c r="K176" s="3"/>
      <c r="L176" s="3"/>
      <c r="M176" s="3"/>
      <c r="N176" s="3"/>
      <c r="O176" s="3"/>
      <c r="P176" s="3"/>
    </row>
    <row r="177" spans="1:16" ht="15" customHeight="1" x14ac:dyDescent="0.25">
      <c r="A177" s="15">
        <v>12</v>
      </c>
      <c r="B177" s="87" t="s">
        <v>254</v>
      </c>
      <c r="C177" s="88"/>
      <c r="D177" s="88"/>
      <c r="E177" s="88"/>
      <c r="F177" s="88"/>
      <c r="G177" s="88"/>
      <c r="H177" s="88"/>
      <c r="I177" s="88"/>
      <c r="J177" s="88"/>
      <c r="K177" s="88"/>
      <c r="L177" s="88"/>
      <c r="M177" s="88"/>
      <c r="N177" s="88"/>
      <c r="O177" s="88"/>
      <c r="P177" s="89"/>
    </row>
    <row r="178" spans="1:16" ht="45" customHeight="1" x14ac:dyDescent="0.25">
      <c r="A178" s="16" t="s">
        <v>83</v>
      </c>
      <c r="B178" s="20">
        <v>86888</v>
      </c>
      <c r="C178" s="84" t="str">
        <f>VLOOKUP(B178,COMPOSICAO!B:K,2,FALSE)</f>
        <v>VASO SANITÁRIO SIFONADO COM CAIXA ACOPLADA LOUÇA BRANCA - FORNECIMENTO E INSTALAÇÃO. AF_01/2020</v>
      </c>
      <c r="D178" s="85"/>
      <c r="E178" s="85"/>
      <c r="F178" s="86"/>
      <c r="G178" s="16" t="str">
        <f>VLOOKUP(B178,COMPOSICAO!B:K,6,FALSE)</f>
        <v>UN</v>
      </c>
      <c r="H178" s="16"/>
      <c r="I178" s="16"/>
      <c r="J178" s="16"/>
      <c r="K178" s="16"/>
      <c r="L178" s="16"/>
      <c r="M178" s="16"/>
      <c r="N178" s="16"/>
      <c r="O178" s="16"/>
      <c r="P178" s="17">
        <f>SUM(O178:O180)</f>
        <v>4</v>
      </c>
    </row>
    <row r="179" spans="1:16" ht="15" customHeight="1" x14ac:dyDescent="0.25">
      <c r="A179" s="16" t="s">
        <v>255</v>
      </c>
      <c r="B179" s="84" t="s">
        <v>11</v>
      </c>
      <c r="C179" s="85"/>
      <c r="D179" s="85"/>
      <c r="E179" s="85"/>
      <c r="F179" s="86"/>
      <c r="G179" s="16"/>
      <c r="H179" s="17">
        <v>4</v>
      </c>
      <c r="I179" s="17"/>
      <c r="J179" s="17"/>
      <c r="K179" s="17"/>
      <c r="L179" s="17"/>
      <c r="M179" s="17" t="str">
        <f>IF(COUNTA(J179:L179)=2,ROUND(PRODUCT(J179:L179),2),"")</f>
        <v/>
      </c>
      <c r="N179" s="17" t="str">
        <f>IF(OR(COUNTA(J179:L179)=3,AND(COUNTA(J179:L179)=1,M179&lt;&gt;"")),ROUND(PRODUCT(J179:M179),2),"")</f>
        <v/>
      </c>
      <c r="O179" s="17">
        <f>IF(N179&lt;&gt;"",ROUND(PRODUCT(H179,I179,N179),2),IF(M179&lt;&gt;"",ROUND(PRODUCT(H179,I179,M179),2),ROUND(PRODUCT(H179:L179),2)))</f>
        <v>4</v>
      </c>
      <c r="P179" s="17"/>
    </row>
    <row r="180" spans="1:16" ht="15" customHeight="1" x14ac:dyDescent="0.25">
      <c r="A180" s="3"/>
      <c r="B180" s="3"/>
      <c r="C180" s="3"/>
      <c r="D180" s="3"/>
      <c r="E180" s="3"/>
      <c r="F180" s="3"/>
      <c r="G180" s="3"/>
      <c r="H180" s="3"/>
      <c r="I180" s="3"/>
      <c r="J180" s="3"/>
      <c r="K180" s="3"/>
      <c r="L180" s="3"/>
      <c r="M180" s="3"/>
      <c r="N180" s="3"/>
      <c r="O180" s="3"/>
      <c r="P180" s="3"/>
    </row>
    <row r="181" spans="1:16" ht="75" customHeight="1" x14ac:dyDescent="0.25">
      <c r="A181" s="16" t="s">
        <v>84</v>
      </c>
      <c r="B181" s="16" t="s">
        <v>256</v>
      </c>
      <c r="C181" s="84" t="str">
        <f>VLOOKUP(B181,COMPOSICAO!B:K,2,FALSE)</f>
        <v>LAVATÓRIO COM BANCADA EM GRANITO CINZA ANDORINHA, E = 2CM, DIM 1,50X0,60, COM 02 CUBAS DE EMBUTIR DE LOUÇA, SIFÃO CROMADO, VÁLVULA CROMADA, TORNEIRA CROMADA, INCLUSIVE RODOPIA 10 CM, ASSENTADA</v>
      </c>
      <c r="D181" s="85"/>
      <c r="E181" s="85"/>
      <c r="F181" s="86"/>
      <c r="G181" s="16" t="str">
        <f>VLOOKUP(B181,COMPOSICAO!B:K,6,FALSE)</f>
        <v>UN</v>
      </c>
      <c r="H181" s="16"/>
      <c r="I181" s="16"/>
      <c r="J181" s="16"/>
      <c r="K181" s="16"/>
      <c r="L181" s="16"/>
      <c r="M181" s="16"/>
      <c r="N181" s="16"/>
      <c r="O181" s="16"/>
      <c r="P181" s="17">
        <f>SUM(O181:O183)</f>
        <v>2</v>
      </c>
    </row>
    <row r="182" spans="1:16" ht="15" customHeight="1" x14ac:dyDescent="0.25">
      <c r="A182" s="16" t="s">
        <v>257</v>
      </c>
      <c r="B182" s="84" t="s">
        <v>11</v>
      </c>
      <c r="C182" s="85"/>
      <c r="D182" s="85"/>
      <c r="E182" s="85"/>
      <c r="F182" s="86"/>
      <c r="G182" s="16"/>
      <c r="H182" s="17">
        <v>2</v>
      </c>
      <c r="I182" s="17"/>
      <c r="J182" s="17"/>
      <c r="K182" s="17"/>
      <c r="L182" s="17"/>
      <c r="M182" s="17" t="str">
        <f>IF(COUNTA(J182:L182)=2,ROUND(PRODUCT(J182:L182),2),"")</f>
        <v/>
      </c>
      <c r="N182" s="17" t="str">
        <f>IF(OR(COUNTA(J182:L182)=3,AND(COUNTA(J182:L182)=1,M182&lt;&gt;"")),ROUND(PRODUCT(J182:M182),2),"")</f>
        <v/>
      </c>
      <c r="O182" s="17">
        <f>IF(N182&lt;&gt;"",ROUND(PRODUCT(H182,I182,N182),2),IF(M182&lt;&gt;"",ROUND(PRODUCT(H182,I182,M182),2),ROUND(PRODUCT(H182:L182),2)))</f>
        <v>2</v>
      </c>
      <c r="P182" s="17"/>
    </row>
    <row r="183" spans="1:16" ht="15" customHeight="1" x14ac:dyDescent="0.25">
      <c r="A183" s="3"/>
      <c r="B183" s="3"/>
      <c r="C183" s="3"/>
      <c r="D183" s="3"/>
      <c r="E183" s="3"/>
      <c r="F183" s="3"/>
      <c r="G183" s="3"/>
      <c r="H183" s="3"/>
      <c r="I183" s="3"/>
      <c r="J183" s="3"/>
      <c r="K183" s="3"/>
      <c r="L183" s="3"/>
      <c r="M183" s="3"/>
      <c r="N183" s="3"/>
      <c r="O183" s="3"/>
      <c r="P183" s="3"/>
    </row>
    <row r="184" spans="1:16" ht="45" customHeight="1" x14ac:dyDescent="0.25">
      <c r="A184" s="16" t="s">
        <v>85</v>
      </c>
      <c r="B184" s="16" t="s">
        <v>258</v>
      </c>
      <c r="C184" s="84" t="str">
        <f>VLOOKUP(B184,COMPOSICAO!B:K,2,FALSE)</f>
        <v>CHUVEIRO SIMPLES DE PLÁSTICO (HERC REF 1980 OU SIMILAR), C/ REGISTRO DE PRESSÃO DE PVC</v>
      </c>
      <c r="D184" s="85"/>
      <c r="E184" s="85"/>
      <c r="F184" s="86"/>
      <c r="G184" s="16" t="str">
        <f>VLOOKUP(B184,COMPOSICAO!B:K,6,FALSE)</f>
        <v>UN</v>
      </c>
      <c r="H184" s="16"/>
      <c r="I184" s="16"/>
      <c r="J184" s="16"/>
      <c r="K184" s="16"/>
      <c r="L184" s="16"/>
      <c r="M184" s="16"/>
      <c r="N184" s="16"/>
      <c r="O184" s="16"/>
      <c r="P184" s="17">
        <f>SUM(O184:O186)</f>
        <v>2</v>
      </c>
    </row>
    <row r="185" spans="1:16" ht="15" customHeight="1" x14ac:dyDescent="0.25">
      <c r="A185" s="16" t="s">
        <v>259</v>
      </c>
      <c r="B185" s="84" t="s">
        <v>11</v>
      </c>
      <c r="C185" s="85"/>
      <c r="D185" s="85"/>
      <c r="E185" s="85"/>
      <c r="F185" s="86"/>
      <c r="G185" s="16"/>
      <c r="H185" s="17">
        <v>2</v>
      </c>
      <c r="I185" s="17"/>
      <c r="J185" s="17"/>
      <c r="K185" s="17"/>
      <c r="L185" s="17"/>
      <c r="M185" s="17" t="str">
        <f>IF(COUNTA(J185:L185)=2,ROUND(PRODUCT(J185:L185),2),"")</f>
        <v/>
      </c>
      <c r="N185" s="17" t="str">
        <f>IF(OR(COUNTA(J185:L185)=3,AND(COUNTA(J185:L185)=1,M185&lt;&gt;"")),ROUND(PRODUCT(J185:M185),2),"")</f>
        <v/>
      </c>
      <c r="O185" s="17">
        <f>IF(N185&lt;&gt;"",ROUND(PRODUCT(H185,I185,N185),2),IF(M185&lt;&gt;"",ROUND(PRODUCT(H185,I185,M185),2),ROUND(PRODUCT(H185:L185),2)))</f>
        <v>2</v>
      </c>
      <c r="P185" s="17"/>
    </row>
    <row r="186" spans="1:16" ht="15" customHeight="1" x14ac:dyDescent="0.25">
      <c r="A186" s="3"/>
      <c r="B186" s="3"/>
      <c r="C186" s="3"/>
      <c r="D186" s="3"/>
      <c r="E186" s="3"/>
      <c r="F186" s="3"/>
      <c r="G186" s="3"/>
      <c r="H186" s="3"/>
      <c r="I186" s="3"/>
      <c r="J186" s="3"/>
      <c r="K186" s="3"/>
      <c r="L186" s="3"/>
      <c r="M186" s="3"/>
      <c r="N186" s="3"/>
      <c r="O186" s="3"/>
      <c r="P186" s="3"/>
    </row>
    <row r="187" spans="1:16" ht="15" customHeight="1" x14ac:dyDescent="0.25">
      <c r="A187" s="15">
        <v>13</v>
      </c>
      <c r="B187" s="87" t="s">
        <v>260</v>
      </c>
      <c r="C187" s="88"/>
      <c r="D187" s="88"/>
      <c r="E187" s="88"/>
      <c r="F187" s="88"/>
      <c r="G187" s="88"/>
      <c r="H187" s="88"/>
      <c r="I187" s="88"/>
      <c r="J187" s="88"/>
      <c r="K187" s="88"/>
      <c r="L187" s="88"/>
      <c r="M187" s="88"/>
      <c r="N187" s="88"/>
      <c r="O187" s="88"/>
      <c r="P187" s="89"/>
    </row>
    <row r="188" spans="1:16" ht="60" customHeight="1" x14ac:dyDescent="0.25">
      <c r="A188" s="16" t="s">
        <v>86</v>
      </c>
      <c r="B188" s="16" t="s">
        <v>261</v>
      </c>
      <c r="C188" s="84" t="str">
        <f>VLOOKUP(B188,COMPOSICAO!B:K,2,FALSE)</f>
        <v>QUADRO DE DISTRIBUIÇÃO DE EMBUTIR, EM CHAPA DE AÇO, PARA ATÉ 12 DISJUNTORES, COM BARRAMENTO, PADRÃO DIN, EXCLUSIVE DISJUNTORES</v>
      </c>
      <c r="D188" s="85"/>
      <c r="E188" s="85"/>
      <c r="F188" s="86"/>
      <c r="G188" s="16" t="str">
        <f>VLOOKUP(B188,COMPOSICAO!B:K,6,FALSE)</f>
        <v>UN</v>
      </c>
      <c r="H188" s="16"/>
      <c r="I188" s="16"/>
      <c r="J188" s="16"/>
      <c r="K188" s="16"/>
      <c r="L188" s="16"/>
      <c r="M188" s="16"/>
      <c r="N188" s="16"/>
      <c r="O188" s="16"/>
      <c r="P188" s="17">
        <f>SUM(O188:O190)</f>
        <v>1</v>
      </c>
    </row>
    <row r="189" spans="1:16" ht="15" customHeight="1" x14ac:dyDescent="0.25">
      <c r="A189" s="16" t="s">
        <v>262</v>
      </c>
      <c r="B189" s="84" t="s">
        <v>11</v>
      </c>
      <c r="C189" s="85"/>
      <c r="D189" s="85"/>
      <c r="E189" s="85"/>
      <c r="F189" s="86"/>
      <c r="G189" s="16"/>
      <c r="H189" s="17">
        <v>1</v>
      </c>
      <c r="I189" s="17"/>
      <c r="J189" s="17"/>
      <c r="K189" s="17"/>
      <c r="L189" s="17"/>
      <c r="M189" s="17" t="str">
        <f>IF(COUNTA(J189:L189)=2,ROUND(PRODUCT(J189:L189),2),"")</f>
        <v/>
      </c>
      <c r="N189" s="17" t="str">
        <f>IF(OR(COUNTA(J189:L189)=3,AND(COUNTA(J189:L189)=1,M189&lt;&gt;"")),ROUND(PRODUCT(J189:M189),2),"")</f>
        <v/>
      </c>
      <c r="O189" s="17">
        <f>IF(N189&lt;&gt;"",ROUND(PRODUCT(H189,I189,N189),2),IF(M189&lt;&gt;"",ROUND(PRODUCT(H189,I189,M189),2),ROUND(PRODUCT(H189:L189),2)))</f>
        <v>1</v>
      </c>
      <c r="P189" s="17"/>
    </row>
    <row r="190" spans="1:16" ht="15" customHeight="1" x14ac:dyDescent="0.25">
      <c r="A190" s="3"/>
      <c r="B190" s="3"/>
      <c r="C190" s="3"/>
      <c r="D190" s="3"/>
      <c r="E190" s="3"/>
      <c r="F190" s="3"/>
      <c r="G190" s="3"/>
      <c r="H190" s="3"/>
      <c r="I190" s="3"/>
      <c r="J190" s="3"/>
      <c r="K190" s="3"/>
      <c r="L190" s="3"/>
      <c r="M190" s="3"/>
      <c r="N190" s="3"/>
      <c r="O190" s="3"/>
      <c r="P190" s="3"/>
    </row>
    <row r="191" spans="1:16" ht="45" customHeight="1" x14ac:dyDescent="0.25">
      <c r="A191" s="16" t="s">
        <v>87</v>
      </c>
      <c r="B191" s="20">
        <v>101890</v>
      </c>
      <c r="C191" s="84" t="str">
        <f>VLOOKUP(B191,COMPOSICAO!B:K,2,FALSE)</f>
        <v>DISJUNTOR MONOPOLAR TIPO NEMA, CORRENTE NOMINAL DE 10 ATÉ 30A - FORNECIMENTO E INSTALAÇÃO. AF_10/2020</v>
      </c>
      <c r="D191" s="85"/>
      <c r="E191" s="85"/>
      <c r="F191" s="86"/>
      <c r="G191" s="16" t="str">
        <f>VLOOKUP(B191,COMPOSICAO!B:K,6,FALSE)</f>
        <v>UN</v>
      </c>
      <c r="H191" s="16"/>
      <c r="I191" s="16"/>
      <c r="J191" s="16"/>
      <c r="K191" s="16"/>
      <c r="L191" s="16"/>
      <c r="M191" s="16"/>
      <c r="N191" s="16"/>
      <c r="O191" s="16"/>
      <c r="P191" s="17">
        <f>SUM(O191:O193)</f>
        <v>1</v>
      </c>
    </row>
    <row r="192" spans="1:16" ht="15" customHeight="1" x14ac:dyDescent="0.25">
      <c r="A192" s="16" t="s">
        <v>263</v>
      </c>
      <c r="B192" s="84" t="s">
        <v>264</v>
      </c>
      <c r="C192" s="85"/>
      <c r="D192" s="85"/>
      <c r="E192" s="85"/>
      <c r="F192" s="86"/>
      <c r="G192" s="16"/>
      <c r="H192" s="17">
        <v>1</v>
      </c>
      <c r="I192" s="17"/>
      <c r="J192" s="17"/>
      <c r="K192" s="17"/>
      <c r="L192" s="17"/>
      <c r="M192" s="17" t="str">
        <f>IF(COUNTA(J192:L192)=2,ROUND(PRODUCT(J192:L192),2),"")</f>
        <v/>
      </c>
      <c r="N192" s="17" t="str">
        <f>IF(OR(COUNTA(J192:L192)=3,AND(COUNTA(J192:L192)=1,M192&lt;&gt;"")),ROUND(PRODUCT(J192:M192),2),"")</f>
        <v/>
      </c>
      <c r="O192" s="17">
        <f>IF(N192&lt;&gt;"",ROUND(PRODUCT(H192,I192,N192),2),IF(M192&lt;&gt;"",ROUND(PRODUCT(H192,I192,M192),2),ROUND(PRODUCT(H192:L192),2)))</f>
        <v>1</v>
      </c>
      <c r="P192" s="17"/>
    </row>
    <row r="193" spans="1:16" ht="15" customHeight="1" x14ac:dyDescent="0.25">
      <c r="A193" s="3"/>
      <c r="B193" s="3"/>
      <c r="C193" s="3"/>
      <c r="D193" s="3"/>
      <c r="E193" s="3"/>
      <c r="F193" s="3"/>
      <c r="G193" s="3"/>
      <c r="H193" s="3"/>
      <c r="I193" s="3"/>
      <c r="J193" s="3"/>
      <c r="K193" s="3"/>
      <c r="L193" s="3"/>
      <c r="M193" s="3"/>
      <c r="N193" s="3"/>
      <c r="O193" s="3"/>
      <c r="P193" s="3"/>
    </row>
    <row r="194" spans="1:16" ht="45" customHeight="1" x14ac:dyDescent="0.25">
      <c r="A194" s="16" t="s">
        <v>88</v>
      </c>
      <c r="B194" s="20">
        <v>93654</v>
      </c>
      <c r="C194" s="84" t="str">
        <f>VLOOKUP(B194,COMPOSICAO!B:K,2,FALSE)</f>
        <v>DISJUNTOR MONOPOLAR TIPO DIN, CORRENTE NOMINAL DE 16A - FORNECIMENTO E INSTALAÇÃO. AF_10/2020</v>
      </c>
      <c r="D194" s="85"/>
      <c r="E194" s="85"/>
      <c r="F194" s="86"/>
      <c r="G194" s="16" t="str">
        <f>VLOOKUP(B194,COMPOSICAO!B:K,6,FALSE)</f>
        <v>UN</v>
      </c>
      <c r="H194" s="16"/>
      <c r="I194" s="16"/>
      <c r="J194" s="16"/>
      <c r="K194" s="16"/>
      <c r="L194" s="16"/>
      <c r="M194" s="16"/>
      <c r="N194" s="16"/>
      <c r="O194" s="16"/>
      <c r="P194" s="17">
        <f>SUM(O194:O196)</f>
        <v>7</v>
      </c>
    </row>
    <row r="195" spans="1:16" ht="15" customHeight="1" x14ac:dyDescent="0.25">
      <c r="A195" s="16" t="s">
        <v>265</v>
      </c>
      <c r="B195" s="84" t="s">
        <v>11</v>
      </c>
      <c r="C195" s="85"/>
      <c r="D195" s="85"/>
      <c r="E195" s="85"/>
      <c r="F195" s="86"/>
      <c r="G195" s="16"/>
      <c r="H195" s="17">
        <v>7</v>
      </c>
      <c r="I195" s="17"/>
      <c r="J195" s="17"/>
      <c r="K195" s="17"/>
      <c r="L195" s="17"/>
      <c r="M195" s="17" t="str">
        <f>IF(COUNTA(J195:L195)=2,ROUND(PRODUCT(J195:L195),2),"")</f>
        <v/>
      </c>
      <c r="N195" s="17" t="str">
        <f>IF(OR(COUNTA(J195:L195)=3,AND(COUNTA(J195:L195)=1,M195&lt;&gt;"")),ROUND(PRODUCT(J195:M195),2),"")</f>
        <v/>
      </c>
      <c r="O195" s="17">
        <f>IF(N195&lt;&gt;"",ROUND(PRODUCT(H195,I195,N195),2),IF(M195&lt;&gt;"",ROUND(PRODUCT(H195,I195,M195),2),ROUND(PRODUCT(H195:L195),2)))</f>
        <v>7</v>
      </c>
      <c r="P195" s="17"/>
    </row>
    <row r="196" spans="1:16" ht="15" customHeight="1" x14ac:dyDescent="0.25">
      <c r="A196" s="3"/>
      <c r="B196" s="3"/>
      <c r="C196" s="3"/>
      <c r="D196" s="3"/>
      <c r="E196" s="3"/>
      <c r="F196" s="3"/>
      <c r="G196" s="3"/>
      <c r="H196" s="3"/>
      <c r="I196" s="3"/>
      <c r="J196" s="3"/>
      <c r="K196" s="3"/>
      <c r="L196" s="3"/>
      <c r="M196" s="3"/>
      <c r="N196" s="3"/>
      <c r="O196" s="3"/>
      <c r="P196" s="3"/>
    </row>
    <row r="197" spans="1:16" ht="45" customHeight="1" x14ac:dyDescent="0.25">
      <c r="A197" s="16" t="s">
        <v>89</v>
      </c>
      <c r="B197" s="16" t="s">
        <v>266</v>
      </c>
      <c r="C197" s="84" t="str">
        <f>VLOOKUP(B197,COMPOSICAO!B:K,2,FALSE)</f>
        <v>DISJUNTOR MONOPOLAR DR 25 A  - DISPOSITIVO RESIDUAL DIFERENCIAL, TIPO AC, REF.5SU1 SIEMENS OU SIMILAR</v>
      </c>
      <c r="D197" s="85"/>
      <c r="E197" s="85"/>
      <c r="F197" s="86"/>
      <c r="G197" s="16" t="str">
        <f>VLOOKUP(B197,COMPOSICAO!B:K,6,FALSE)</f>
        <v>UN</v>
      </c>
      <c r="H197" s="16"/>
      <c r="I197" s="16"/>
      <c r="J197" s="16"/>
      <c r="K197" s="16"/>
      <c r="L197" s="16"/>
      <c r="M197" s="16"/>
      <c r="N197" s="16"/>
      <c r="O197" s="16"/>
      <c r="P197" s="17">
        <f>SUM(O197:O199)</f>
        <v>1</v>
      </c>
    </row>
    <row r="198" spans="1:16" ht="15" customHeight="1" x14ac:dyDescent="0.25">
      <c r="A198" s="16" t="s">
        <v>267</v>
      </c>
      <c r="B198" s="84" t="s">
        <v>11</v>
      </c>
      <c r="C198" s="85"/>
      <c r="D198" s="85"/>
      <c r="E198" s="85"/>
      <c r="F198" s="86"/>
      <c r="G198" s="16"/>
      <c r="H198" s="17">
        <v>1</v>
      </c>
      <c r="I198" s="17"/>
      <c r="J198" s="17"/>
      <c r="K198" s="17"/>
      <c r="L198" s="17"/>
      <c r="M198" s="17" t="str">
        <f>IF(COUNTA(J198:L198)=2,ROUND(PRODUCT(J198:L198),2),"")</f>
        <v/>
      </c>
      <c r="N198" s="17" t="str">
        <f>IF(OR(COUNTA(J198:L198)=3,AND(COUNTA(J198:L198)=1,M198&lt;&gt;"")),ROUND(PRODUCT(J198:M198),2),"")</f>
        <v/>
      </c>
      <c r="O198" s="17">
        <f>IF(N198&lt;&gt;"",ROUND(PRODUCT(H198,I198,N198),2),IF(M198&lt;&gt;"",ROUND(PRODUCT(H198,I198,M198),2),ROUND(PRODUCT(H198:L198),2)))</f>
        <v>1</v>
      </c>
      <c r="P198" s="17"/>
    </row>
    <row r="199" spans="1:16" ht="15" customHeight="1" x14ac:dyDescent="0.25">
      <c r="A199" s="3"/>
      <c r="B199" s="3"/>
      <c r="C199" s="3"/>
      <c r="D199" s="3"/>
      <c r="E199" s="3"/>
      <c r="F199" s="3"/>
      <c r="G199" s="3"/>
      <c r="H199" s="3"/>
      <c r="I199" s="3"/>
      <c r="J199" s="3"/>
      <c r="K199" s="3"/>
      <c r="L199" s="3"/>
      <c r="M199" s="3"/>
      <c r="N199" s="3"/>
      <c r="O199" s="3"/>
      <c r="P199" s="3"/>
    </row>
    <row r="200" spans="1:16" ht="30" customHeight="1" x14ac:dyDescent="0.25">
      <c r="A200" s="16" t="s">
        <v>90</v>
      </c>
      <c r="B200" s="16" t="s">
        <v>268</v>
      </c>
      <c r="C200" s="84" t="str">
        <f>VLOOKUP(B200,COMPOSICAO!B:K,2,FALSE)</f>
        <v>DISPOSITIVO DE PROTEÇÃO CONTRA SURTO DE TENSÃO DPS 40KA - 175V</v>
      </c>
      <c r="D200" s="85"/>
      <c r="E200" s="85"/>
      <c r="F200" s="86"/>
      <c r="G200" s="16" t="str">
        <f>VLOOKUP(B200,COMPOSICAO!B:K,6,FALSE)</f>
        <v>UN</v>
      </c>
      <c r="H200" s="16"/>
      <c r="I200" s="16"/>
      <c r="J200" s="16"/>
      <c r="K200" s="16"/>
      <c r="L200" s="16"/>
      <c r="M200" s="16"/>
      <c r="N200" s="16"/>
      <c r="O200" s="16"/>
      <c r="P200" s="17">
        <f>SUM(O200:O202)</f>
        <v>1</v>
      </c>
    </row>
    <row r="201" spans="1:16" ht="15" customHeight="1" x14ac:dyDescent="0.25">
      <c r="A201" s="16" t="s">
        <v>269</v>
      </c>
      <c r="B201" s="84" t="s">
        <v>11</v>
      </c>
      <c r="C201" s="85"/>
      <c r="D201" s="85"/>
      <c r="E201" s="85"/>
      <c r="F201" s="86"/>
      <c r="G201" s="16"/>
      <c r="H201" s="17">
        <v>1</v>
      </c>
      <c r="I201" s="17"/>
      <c r="J201" s="17"/>
      <c r="K201" s="17"/>
      <c r="L201" s="17"/>
      <c r="M201" s="17" t="str">
        <f>IF(COUNTA(J201:L201)=2,ROUND(PRODUCT(J201:L201),2),"")</f>
        <v/>
      </c>
      <c r="N201" s="17" t="str">
        <f>IF(OR(COUNTA(J201:L201)=3,AND(COUNTA(J201:L201)=1,M201&lt;&gt;"")),ROUND(PRODUCT(J201:M201),2),"")</f>
        <v/>
      </c>
      <c r="O201" s="17">
        <f>IF(N201&lt;&gt;"",ROUND(PRODUCT(H201,I201,N201),2),IF(M201&lt;&gt;"",ROUND(PRODUCT(H201,I201,M201),2),ROUND(PRODUCT(H201:L201),2)))</f>
        <v>1</v>
      </c>
      <c r="P201" s="17"/>
    </row>
    <row r="202" spans="1:16" ht="15" customHeight="1" x14ac:dyDescent="0.25">
      <c r="A202" s="3"/>
      <c r="B202" s="3"/>
      <c r="C202" s="3"/>
      <c r="D202" s="3"/>
      <c r="E202" s="3"/>
      <c r="F202" s="3"/>
      <c r="G202" s="3"/>
      <c r="H202" s="3"/>
      <c r="I202" s="3"/>
      <c r="J202" s="3"/>
      <c r="K202" s="3"/>
      <c r="L202" s="3"/>
      <c r="M202" s="3"/>
      <c r="N202" s="3"/>
      <c r="O202" s="3"/>
      <c r="P202" s="3"/>
    </row>
    <row r="203" spans="1:16" ht="60" customHeight="1" x14ac:dyDescent="0.25">
      <c r="A203" s="16" t="s">
        <v>91</v>
      </c>
      <c r="B203" s="20">
        <v>91931</v>
      </c>
      <c r="C203" s="84" t="str">
        <f>VLOOKUP(B203,COMPOSICAO!B:K,2,FALSE)</f>
        <v>CABO DE COBRE FLEXÍVEL ISOLADO, 6 MM², ANTI-CHAMA 0,6/1,0 KV, PARA CIRCUITOS TERMINAIS - FORNECIMENTO E INSTALAÇÃO. AF_12/2015</v>
      </c>
      <c r="D203" s="85"/>
      <c r="E203" s="85"/>
      <c r="F203" s="86"/>
      <c r="G203" s="16" t="str">
        <f>VLOOKUP(B203,COMPOSICAO!B:K,6,FALSE)</f>
        <v>M</v>
      </c>
      <c r="H203" s="16"/>
      <c r="I203" s="16"/>
      <c r="J203" s="16"/>
      <c r="K203" s="16"/>
      <c r="L203" s="16"/>
      <c r="M203" s="16"/>
      <c r="N203" s="16"/>
      <c r="O203" s="16"/>
      <c r="P203" s="17">
        <f>SUM(O203:O205)</f>
        <v>50</v>
      </c>
    </row>
    <row r="204" spans="1:16" ht="15" customHeight="1" x14ac:dyDescent="0.25">
      <c r="A204" s="16" t="s">
        <v>270</v>
      </c>
      <c r="B204" s="84" t="s">
        <v>11</v>
      </c>
      <c r="C204" s="85"/>
      <c r="D204" s="85"/>
      <c r="E204" s="85"/>
      <c r="F204" s="86"/>
      <c r="G204" s="16"/>
      <c r="H204" s="17">
        <v>50</v>
      </c>
      <c r="I204" s="17"/>
      <c r="J204" s="17"/>
      <c r="K204" s="17"/>
      <c r="L204" s="17"/>
      <c r="M204" s="17" t="str">
        <f>IF(COUNTA(J204:L204)=2,ROUND(PRODUCT(J204:L204),2),"")</f>
        <v/>
      </c>
      <c r="N204" s="17" t="str">
        <f>IF(OR(COUNTA(J204:L204)=3,AND(COUNTA(J204:L204)=1,M204&lt;&gt;"")),ROUND(PRODUCT(J204:M204),2),"")</f>
        <v/>
      </c>
      <c r="O204" s="17">
        <f>IF(N204&lt;&gt;"",ROUND(PRODUCT(H204,I204,N204),2),IF(M204&lt;&gt;"",ROUND(PRODUCT(H204,I204,M204),2),ROUND(PRODUCT(H204:L204),2)))</f>
        <v>50</v>
      </c>
      <c r="P204" s="17"/>
    </row>
    <row r="205" spans="1:16" ht="15" customHeight="1" x14ac:dyDescent="0.25">
      <c r="A205" s="3"/>
      <c r="B205" s="3"/>
      <c r="C205" s="3"/>
      <c r="D205" s="3"/>
      <c r="E205" s="3"/>
      <c r="F205" s="3"/>
      <c r="G205" s="3"/>
      <c r="H205" s="3"/>
      <c r="I205" s="3"/>
      <c r="J205" s="3"/>
      <c r="K205" s="3"/>
      <c r="L205" s="3"/>
      <c r="M205" s="3"/>
      <c r="N205" s="3"/>
      <c r="O205" s="3"/>
      <c r="P205" s="3"/>
    </row>
    <row r="206" spans="1:16" ht="60" customHeight="1" x14ac:dyDescent="0.25">
      <c r="A206" s="16" t="s">
        <v>92</v>
      </c>
      <c r="B206" s="20">
        <v>91928</v>
      </c>
      <c r="C206" s="84" t="str">
        <f>VLOOKUP(B206,COMPOSICAO!B:K,2,FALSE)</f>
        <v>CABO DE COBRE FLEXÍVEL ISOLADO, 4 MM², ANTI-CHAMA 450/750 V, PARA CIRCUITOS TERMINAIS - FORNECIMENTO E INSTALAÇÃO. AF_12/2015</v>
      </c>
      <c r="D206" s="85"/>
      <c r="E206" s="85"/>
      <c r="F206" s="86"/>
      <c r="G206" s="16" t="str">
        <f>VLOOKUP(B206,COMPOSICAO!B:K,6,FALSE)</f>
        <v>M</v>
      </c>
      <c r="H206" s="16"/>
      <c r="I206" s="16"/>
      <c r="J206" s="16"/>
      <c r="K206" s="16"/>
      <c r="L206" s="16"/>
      <c r="M206" s="16"/>
      <c r="N206" s="16"/>
      <c r="O206" s="16"/>
      <c r="P206" s="17">
        <f>SUM(O206:O208)</f>
        <v>300</v>
      </c>
    </row>
    <row r="207" spans="1:16" ht="15" customHeight="1" x14ac:dyDescent="0.25">
      <c r="A207" s="16" t="s">
        <v>271</v>
      </c>
      <c r="B207" s="84" t="s">
        <v>11</v>
      </c>
      <c r="C207" s="85"/>
      <c r="D207" s="85"/>
      <c r="E207" s="85"/>
      <c r="F207" s="86"/>
      <c r="G207" s="16"/>
      <c r="H207" s="17"/>
      <c r="I207" s="17"/>
      <c r="J207" s="17">
        <v>300</v>
      </c>
      <c r="K207" s="17"/>
      <c r="L207" s="17"/>
      <c r="M207" s="17" t="str">
        <f>IF(COUNTA(J207:L207)=2,ROUND(PRODUCT(J207:L207),2),"")</f>
        <v/>
      </c>
      <c r="N207" s="17" t="str">
        <f>IF(OR(COUNTA(J207:L207)=3,AND(COUNTA(J207:L207)=1,M207&lt;&gt;"")),ROUND(PRODUCT(J207:M207),2),"")</f>
        <v/>
      </c>
      <c r="O207" s="17">
        <f>IF(N207&lt;&gt;"",ROUND(PRODUCT(H207,I207,N207),2),IF(M207&lt;&gt;"",ROUND(PRODUCT(H207,I207,M207),2),ROUND(PRODUCT(H207:L207),2)))</f>
        <v>300</v>
      </c>
      <c r="P207" s="17"/>
    </row>
    <row r="208" spans="1:16" ht="15" customHeight="1" x14ac:dyDescent="0.25">
      <c r="A208" s="3"/>
      <c r="B208" s="3"/>
      <c r="C208" s="3"/>
      <c r="D208" s="3"/>
      <c r="E208" s="3"/>
      <c r="F208" s="3"/>
      <c r="G208" s="3"/>
      <c r="H208" s="3"/>
      <c r="I208" s="3"/>
      <c r="J208" s="3"/>
      <c r="K208" s="3"/>
      <c r="L208" s="3"/>
      <c r="M208" s="3"/>
      <c r="N208" s="3"/>
      <c r="O208" s="3"/>
      <c r="P208" s="3"/>
    </row>
    <row r="209" spans="1:16" ht="60" customHeight="1" x14ac:dyDescent="0.25">
      <c r="A209" s="16" t="s">
        <v>93</v>
      </c>
      <c r="B209" s="20">
        <v>91927</v>
      </c>
      <c r="C209" s="84" t="str">
        <f>VLOOKUP(B209,COMPOSICAO!B:K,2,FALSE)</f>
        <v>CABO DE COBRE FLEXÍVEL ISOLADO, 2,5 MM², ANTI-CHAMA 0,6/1,0 KV, PARA CIRCUITOS TERMINAIS - FORNECIMENTO E INSTALAÇÃO. AF_12/2015</v>
      </c>
      <c r="D209" s="85"/>
      <c r="E209" s="85"/>
      <c r="F209" s="86"/>
      <c r="G209" s="16" t="str">
        <f>VLOOKUP(B209,COMPOSICAO!B:K,6,FALSE)</f>
        <v>M</v>
      </c>
      <c r="H209" s="16"/>
      <c r="I209" s="16"/>
      <c r="J209" s="16"/>
      <c r="K209" s="16"/>
      <c r="L209" s="16"/>
      <c r="M209" s="16"/>
      <c r="N209" s="16"/>
      <c r="O209" s="16"/>
      <c r="P209" s="17">
        <f>SUM(O209:O211)</f>
        <v>100</v>
      </c>
    </row>
    <row r="210" spans="1:16" ht="15" customHeight="1" x14ac:dyDescent="0.25">
      <c r="A210" s="16" t="s">
        <v>272</v>
      </c>
      <c r="B210" s="84" t="s">
        <v>11</v>
      </c>
      <c r="C210" s="85"/>
      <c r="D210" s="85"/>
      <c r="E210" s="85"/>
      <c r="F210" s="86"/>
      <c r="G210" s="16"/>
      <c r="H210" s="17"/>
      <c r="I210" s="17"/>
      <c r="J210" s="17">
        <v>100</v>
      </c>
      <c r="K210" s="17"/>
      <c r="L210" s="17"/>
      <c r="M210" s="17" t="str">
        <f>IF(COUNTA(J210:L210)=2,ROUND(PRODUCT(J210:L210),2),"")</f>
        <v/>
      </c>
      <c r="N210" s="17" t="str">
        <f>IF(OR(COUNTA(J210:L210)=3,AND(COUNTA(J210:L210)=1,M210&lt;&gt;"")),ROUND(PRODUCT(J210:M210),2),"")</f>
        <v/>
      </c>
      <c r="O210" s="17">
        <f>IF(N210&lt;&gt;"",ROUND(PRODUCT(H210,I210,N210),2),IF(M210&lt;&gt;"",ROUND(PRODUCT(H210,I210,M210),2),ROUND(PRODUCT(H210:L210),2)))</f>
        <v>100</v>
      </c>
      <c r="P210" s="17"/>
    </row>
    <row r="211" spans="1:16" ht="15" customHeight="1" x14ac:dyDescent="0.25">
      <c r="A211" s="3"/>
      <c r="B211" s="3"/>
      <c r="C211" s="3"/>
      <c r="D211" s="3"/>
      <c r="E211" s="3"/>
      <c r="F211" s="3"/>
      <c r="G211" s="3"/>
      <c r="H211" s="3"/>
      <c r="I211" s="3"/>
      <c r="J211" s="3"/>
      <c r="K211" s="3"/>
      <c r="L211" s="3"/>
      <c r="M211" s="3"/>
      <c r="N211" s="3"/>
      <c r="O211" s="3"/>
      <c r="P211" s="3"/>
    </row>
    <row r="212" spans="1:16" ht="60" customHeight="1" x14ac:dyDescent="0.25">
      <c r="A212" s="16" t="s">
        <v>94</v>
      </c>
      <c r="B212" s="20">
        <v>91834</v>
      </c>
      <c r="C212" s="84" t="str">
        <f>VLOOKUP(B212,COMPOSICAO!B:K,2,FALSE)</f>
        <v>ELETRODUTO FLEXÍVEL CORRUGADO, PVC, DN 25 MM (3/4"), PARA CIRCUITOS TERMINAIS, INSTALADO EM FORRO - FORNECIMENTO E INSTALAÇÃO. AF_12/2015</v>
      </c>
      <c r="D212" s="85"/>
      <c r="E212" s="85"/>
      <c r="F212" s="86"/>
      <c r="G212" s="16" t="str">
        <f>VLOOKUP(B212,COMPOSICAO!B:K,6,FALSE)</f>
        <v>M</v>
      </c>
      <c r="H212" s="16"/>
      <c r="I212" s="16"/>
      <c r="J212" s="16"/>
      <c r="K212" s="16"/>
      <c r="L212" s="16"/>
      <c r="M212" s="16"/>
      <c r="N212" s="16"/>
      <c r="O212" s="16"/>
      <c r="P212" s="17">
        <f>SUM(O212:O214)</f>
        <v>100</v>
      </c>
    </row>
    <row r="213" spans="1:16" ht="15" customHeight="1" x14ac:dyDescent="0.25">
      <c r="A213" s="16" t="s">
        <v>273</v>
      </c>
      <c r="B213" s="84" t="s">
        <v>11</v>
      </c>
      <c r="C213" s="85"/>
      <c r="D213" s="85"/>
      <c r="E213" s="85"/>
      <c r="F213" s="86"/>
      <c r="G213" s="16"/>
      <c r="H213" s="17"/>
      <c r="I213" s="17"/>
      <c r="J213" s="17">
        <v>100</v>
      </c>
      <c r="K213" s="17"/>
      <c r="L213" s="17"/>
      <c r="M213" s="17" t="str">
        <f>IF(COUNTA(J213:L213)=2,ROUND(PRODUCT(J213:L213),2),"")</f>
        <v/>
      </c>
      <c r="N213" s="17" t="str">
        <f>IF(OR(COUNTA(J213:L213)=3,AND(COUNTA(J213:L213)=1,M213&lt;&gt;"")),ROUND(PRODUCT(J213:M213),2),"")</f>
        <v/>
      </c>
      <c r="O213" s="17">
        <f>IF(N213&lt;&gt;"",ROUND(PRODUCT(H213,I213,N213),2),IF(M213&lt;&gt;"",ROUND(PRODUCT(H213,I213,M213),2),ROUND(PRODUCT(H213:L213),2)))</f>
        <v>100</v>
      </c>
      <c r="P213" s="17"/>
    </row>
    <row r="214" spans="1:16" ht="15" customHeight="1" x14ac:dyDescent="0.25">
      <c r="A214" s="3"/>
      <c r="B214" s="3"/>
      <c r="C214" s="3"/>
      <c r="D214" s="3"/>
      <c r="E214" s="3"/>
      <c r="F214" s="3"/>
      <c r="G214" s="3"/>
      <c r="H214" s="3"/>
      <c r="I214" s="3"/>
      <c r="J214" s="3"/>
      <c r="K214" s="3"/>
      <c r="L214" s="3"/>
      <c r="M214" s="3"/>
      <c r="N214" s="3"/>
      <c r="O214" s="3"/>
      <c r="P214" s="3"/>
    </row>
    <row r="215" spans="1:16" ht="30" customHeight="1" x14ac:dyDescent="0.25">
      <c r="A215" s="16" t="s">
        <v>95</v>
      </c>
      <c r="B215" s="16" t="s">
        <v>274</v>
      </c>
      <c r="C215" s="84" t="str">
        <f>VLOOKUP(B215,COMPOSICAO!B:K,2,FALSE)</f>
        <v>LUMINÁRIA COM LAMPADA LED TUBULAR BIVOLT 18/20 W, BASE G13 - REV 01</v>
      </c>
      <c r="D215" s="85"/>
      <c r="E215" s="85"/>
      <c r="F215" s="86"/>
      <c r="G215" s="16" t="str">
        <f>VLOOKUP(B215,COMPOSICAO!B:K,6,FALSE)</f>
        <v>UN</v>
      </c>
      <c r="H215" s="16"/>
      <c r="I215" s="16"/>
      <c r="J215" s="16"/>
      <c r="K215" s="16"/>
      <c r="L215" s="16"/>
      <c r="M215" s="16"/>
      <c r="N215" s="16"/>
      <c r="O215" s="16"/>
      <c r="P215" s="17">
        <f>SUM(O215:O217)</f>
        <v>17</v>
      </c>
    </row>
    <row r="216" spans="1:16" ht="15" customHeight="1" x14ac:dyDescent="0.25">
      <c r="A216" s="16" t="s">
        <v>275</v>
      </c>
      <c r="B216" s="84" t="s">
        <v>11</v>
      </c>
      <c r="C216" s="85"/>
      <c r="D216" s="85"/>
      <c r="E216" s="85"/>
      <c r="F216" s="86"/>
      <c r="G216" s="16"/>
      <c r="H216" s="17">
        <v>17</v>
      </c>
      <c r="I216" s="17"/>
      <c r="J216" s="17"/>
      <c r="K216" s="17"/>
      <c r="L216" s="17"/>
      <c r="M216" s="17" t="str">
        <f>IF(COUNTA(J216:L216)=2,ROUND(PRODUCT(J216:L216),2),"")</f>
        <v/>
      </c>
      <c r="N216" s="17" t="str">
        <f>IF(OR(COUNTA(J216:L216)=3,AND(COUNTA(J216:L216)=1,M216&lt;&gt;"")),ROUND(PRODUCT(J216:M216),2),"")</f>
        <v/>
      </c>
      <c r="O216" s="17">
        <f>IF(N216&lt;&gt;"",ROUND(PRODUCT(H216,I216,N216),2),IF(M216&lt;&gt;"",ROUND(PRODUCT(H216,I216,M216),2),ROUND(PRODUCT(H216:L216),2)))</f>
        <v>17</v>
      </c>
      <c r="P216" s="17"/>
    </row>
    <row r="217" spans="1:16" ht="15" customHeight="1" x14ac:dyDescent="0.25">
      <c r="A217" s="3"/>
      <c r="B217" s="3"/>
      <c r="C217" s="3"/>
      <c r="D217" s="3"/>
      <c r="E217" s="3"/>
      <c r="F217" s="3"/>
      <c r="G217" s="3"/>
      <c r="H217" s="3"/>
      <c r="I217" s="3"/>
      <c r="J217" s="3"/>
      <c r="K217" s="3"/>
      <c r="L217" s="3"/>
      <c r="M217" s="3"/>
      <c r="N217" s="3"/>
      <c r="O217" s="3"/>
      <c r="P217" s="3"/>
    </row>
    <row r="218" spans="1:16" ht="45" customHeight="1" x14ac:dyDescent="0.25">
      <c r="A218" s="16" t="s">
        <v>96</v>
      </c>
      <c r="B218" s="20">
        <v>91953</v>
      </c>
      <c r="C218" s="84" t="str">
        <f>VLOOKUP(B218,COMPOSICAO!B:K,2,FALSE)</f>
        <v>INTERRUPTOR SIMPLES (1 MÓDULO), 10A/250V, INCLUINDO SUPORTE E PLACA - FORNECIMENTO E INSTALAÇÃO. AF_12/2015</v>
      </c>
      <c r="D218" s="85"/>
      <c r="E218" s="85"/>
      <c r="F218" s="86"/>
      <c r="G218" s="16" t="str">
        <f>VLOOKUP(B218,COMPOSICAO!B:K,6,FALSE)</f>
        <v>UN</v>
      </c>
      <c r="H218" s="16"/>
      <c r="I218" s="16"/>
      <c r="J218" s="16"/>
      <c r="K218" s="16"/>
      <c r="L218" s="16"/>
      <c r="M218" s="16"/>
      <c r="N218" s="16"/>
      <c r="O218" s="16"/>
      <c r="P218" s="17">
        <f>SUM(O218:O220)</f>
        <v>2</v>
      </c>
    </row>
    <row r="219" spans="1:16" ht="15" customHeight="1" x14ac:dyDescent="0.25">
      <c r="A219" s="16" t="s">
        <v>276</v>
      </c>
      <c r="B219" s="84" t="s">
        <v>11</v>
      </c>
      <c r="C219" s="85"/>
      <c r="D219" s="85"/>
      <c r="E219" s="85"/>
      <c r="F219" s="86"/>
      <c r="G219" s="16"/>
      <c r="H219" s="17">
        <v>2</v>
      </c>
      <c r="I219" s="17"/>
      <c r="J219" s="17"/>
      <c r="K219" s="17"/>
      <c r="L219" s="17"/>
      <c r="M219" s="17" t="str">
        <f>IF(COUNTA(J219:L219)=2,ROUND(PRODUCT(J219:L219),2),"")</f>
        <v/>
      </c>
      <c r="N219" s="17" t="str">
        <f>IF(OR(COUNTA(J219:L219)=3,AND(COUNTA(J219:L219)=1,M219&lt;&gt;"")),ROUND(PRODUCT(J219:M219),2),"")</f>
        <v/>
      </c>
      <c r="O219" s="17">
        <f>IF(N219&lt;&gt;"",ROUND(PRODUCT(H219,I219,N219),2),IF(M219&lt;&gt;"",ROUND(PRODUCT(H219,I219,M219),2),ROUND(PRODUCT(H219:L219),2)))</f>
        <v>2</v>
      </c>
      <c r="P219" s="17"/>
    </row>
    <row r="220" spans="1:16" ht="15" customHeight="1" x14ac:dyDescent="0.25">
      <c r="A220" s="3"/>
      <c r="B220" s="3"/>
      <c r="C220" s="3"/>
      <c r="D220" s="3"/>
      <c r="E220" s="3"/>
      <c r="F220" s="3"/>
      <c r="G220" s="3"/>
      <c r="H220" s="3"/>
      <c r="I220" s="3"/>
      <c r="J220" s="3"/>
      <c r="K220" s="3"/>
      <c r="L220" s="3"/>
      <c r="M220" s="3"/>
      <c r="N220" s="3"/>
      <c r="O220" s="3"/>
      <c r="P220" s="3"/>
    </row>
    <row r="221" spans="1:16" ht="45" customHeight="1" x14ac:dyDescent="0.25">
      <c r="A221" s="16" t="s">
        <v>97</v>
      </c>
      <c r="B221" s="20">
        <v>91969</v>
      </c>
      <c r="C221" s="84" t="str">
        <f>VLOOKUP(B221,COMPOSICAO!B:K,2,FALSE)</f>
        <v>INTERRUPTOR PARALELO (3 MÓDULOS), 10A/250V, INCLUINDO SUPORTE E PLACA - FORNECIMENTO E INSTALAÇÃO. AF_12/2015</v>
      </c>
      <c r="D221" s="85"/>
      <c r="E221" s="85"/>
      <c r="F221" s="86"/>
      <c r="G221" s="16" t="str">
        <f>VLOOKUP(B221,COMPOSICAO!B:K,6,FALSE)</f>
        <v>UN</v>
      </c>
      <c r="H221" s="16"/>
      <c r="I221" s="16"/>
      <c r="J221" s="16"/>
      <c r="K221" s="16"/>
      <c r="L221" s="16"/>
      <c r="M221" s="16"/>
      <c r="N221" s="16"/>
      <c r="O221" s="16"/>
      <c r="P221" s="17">
        <f>SUM(O221:O223)</f>
        <v>1</v>
      </c>
    </row>
    <row r="222" spans="1:16" ht="15" customHeight="1" x14ac:dyDescent="0.25">
      <c r="A222" s="16" t="s">
        <v>277</v>
      </c>
      <c r="B222" s="84" t="s">
        <v>11</v>
      </c>
      <c r="C222" s="85"/>
      <c r="D222" s="85"/>
      <c r="E222" s="85"/>
      <c r="F222" s="86"/>
      <c r="G222" s="16"/>
      <c r="H222" s="17">
        <v>1</v>
      </c>
      <c r="I222" s="17"/>
      <c r="J222" s="17"/>
      <c r="K222" s="17"/>
      <c r="L222" s="17"/>
      <c r="M222" s="17" t="str">
        <f>IF(COUNTA(J222:L222)=2,ROUND(PRODUCT(J222:L222),2),"")</f>
        <v/>
      </c>
      <c r="N222" s="17" t="str">
        <f>IF(OR(COUNTA(J222:L222)=3,AND(COUNTA(J222:L222)=1,M222&lt;&gt;"")),ROUND(PRODUCT(J222:M222),2),"")</f>
        <v/>
      </c>
      <c r="O222" s="17">
        <f>IF(N222&lt;&gt;"",ROUND(PRODUCT(H222,I222,N222),2),IF(M222&lt;&gt;"",ROUND(PRODUCT(H222,I222,M222),2),ROUND(PRODUCT(H222:L222),2)))</f>
        <v>1</v>
      </c>
      <c r="P222" s="17"/>
    </row>
    <row r="223" spans="1:16" ht="15" customHeight="1" x14ac:dyDescent="0.25">
      <c r="A223" s="3"/>
      <c r="B223" s="3"/>
      <c r="C223" s="3"/>
      <c r="D223" s="3"/>
      <c r="E223" s="3"/>
      <c r="F223" s="3"/>
      <c r="G223" s="3"/>
      <c r="H223" s="3"/>
      <c r="I223" s="3"/>
      <c r="J223" s="3"/>
      <c r="K223" s="3"/>
      <c r="L223" s="3"/>
      <c r="M223" s="3"/>
      <c r="N223" s="3"/>
      <c r="O223" s="3"/>
      <c r="P223" s="3"/>
    </row>
    <row r="224" spans="1:16" ht="45" customHeight="1" x14ac:dyDescent="0.25">
      <c r="A224" s="16" t="s">
        <v>98</v>
      </c>
      <c r="B224" s="20">
        <v>92008</v>
      </c>
      <c r="C224" s="84" t="str">
        <f>VLOOKUP(B224,COMPOSICAO!B:K,2,FALSE)</f>
        <v>TOMADA BAIXA DE EMBUTIR (2 MÓDULOS), 2P+T 10 A, INCLUINDO SUPORTE E PLACA - FORNECIMENTO E INSTALAÇÃO. AF_12/2015</v>
      </c>
      <c r="D224" s="85"/>
      <c r="E224" s="85"/>
      <c r="F224" s="86"/>
      <c r="G224" s="16" t="str">
        <f>VLOOKUP(B224,COMPOSICAO!B:K,6,FALSE)</f>
        <v>UN</v>
      </c>
      <c r="H224" s="16"/>
      <c r="I224" s="16"/>
      <c r="J224" s="16"/>
      <c r="K224" s="16"/>
      <c r="L224" s="16"/>
      <c r="M224" s="16"/>
      <c r="N224" s="16"/>
      <c r="O224" s="16"/>
      <c r="P224" s="17">
        <f>SUM(O224:O226)</f>
        <v>11</v>
      </c>
    </row>
    <row r="225" spans="1:16" ht="15" customHeight="1" x14ac:dyDescent="0.25">
      <c r="A225" s="16" t="s">
        <v>278</v>
      </c>
      <c r="B225" s="84" t="s">
        <v>11</v>
      </c>
      <c r="C225" s="85"/>
      <c r="D225" s="85"/>
      <c r="E225" s="85"/>
      <c r="F225" s="86"/>
      <c r="G225" s="16"/>
      <c r="H225" s="17">
        <v>11</v>
      </c>
      <c r="I225" s="17"/>
      <c r="J225" s="17"/>
      <c r="K225" s="17"/>
      <c r="L225" s="17"/>
      <c r="M225" s="17" t="str">
        <f>IF(COUNTA(J225:L225)=2,ROUND(PRODUCT(J225:L225),2),"")</f>
        <v/>
      </c>
      <c r="N225" s="17" t="str">
        <f>IF(OR(COUNTA(J225:L225)=3,AND(COUNTA(J225:L225)=1,M225&lt;&gt;"")),ROUND(PRODUCT(J225:M225),2),"")</f>
        <v/>
      </c>
      <c r="O225" s="17">
        <f>IF(N225&lt;&gt;"",ROUND(PRODUCT(H225,I225,N225),2),IF(M225&lt;&gt;"",ROUND(PRODUCT(H225,I225,M225),2),ROUND(PRODUCT(H225:L225),2)))</f>
        <v>11</v>
      </c>
      <c r="P225" s="17"/>
    </row>
    <row r="226" spans="1:16" ht="15" customHeight="1" x14ac:dyDescent="0.25">
      <c r="A226" s="3"/>
      <c r="B226" s="3"/>
      <c r="C226" s="3"/>
      <c r="D226" s="3"/>
      <c r="E226" s="3"/>
      <c r="F226" s="3"/>
      <c r="G226" s="3"/>
      <c r="H226" s="3"/>
      <c r="I226" s="3"/>
      <c r="J226" s="3"/>
      <c r="K226" s="3"/>
      <c r="L226" s="3"/>
      <c r="M226" s="3"/>
      <c r="N226" s="3"/>
      <c r="O226" s="3"/>
      <c r="P226" s="3"/>
    </row>
    <row r="227" spans="1:16" ht="75" customHeight="1" x14ac:dyDescent="0.25">
      <c r="A227" s="16" t="s">
        <v>99</v>
      </c>
      <c r="B227" s="16" t="s">
        <v>279</v>
      </c>
      <c r="C227" s="84" t="str">
        <f>VLOOKUP(B227,COMPOSICAO!B:K,2,FALSE)</f>
        <v>PONTO DE TOMADA 3P PARA AR CONDICIONADO ATÉ 3000 VA, COM ELETRODUTO DE PVC FLEXÍVEL SANFONADO EMBUTIDO  Ø 3/4", INCLUINDO CONJUNTO ASTOP/30A-220V, INCLUSIVE ATERRAMENTO</v>
      </c>
      <c r="D227" s="85"/>
      <c r="E227" s="85"/>
      <c r="F227" s="86"/>
      <c r="G227" s="16" t="str">
        <f>VLOOKUP(B227,COMPOSICAO!B:K,6,FALSE)</f>
        <v>PT</v>
      </c>
      <c r="H227" s="16"/>
      <c r="I227" s="16"/>
      <c r="J227" s="16"/>
      <c r="K227" s="16"/>
      <c r="L227" s="16"/>
      <c r="M227" s="16"/>
      <c r="N227" s="16"/>
      <c r="O227" s="16"/>
      <c r="P227" s="17">
        <f>SUM(O227:O229)</f>
        <v>5</v>
      </c>
    </row>
    <row r="228" spans="1:16" ht="15" customHeight="1" x14ac:dyDescent="0.25">
      <c r="A228" s="16" t="s">
        <v>280</v>
      </c>
      <c r="B228" s="84" t="s">
        <v>11</v>
      </c>
      <c r="C228" s="85"/>
      <c r="D228" s="85"/>
      <c r="E228" s="85"/>
      <c r="F228" s="86"/>
      <c r="G228" s="16"/>
      <c r="H228" s="17">
        <v>5</v>
      </c>
      <c r="I228" s="17"/>
      <c r="J228" s="17"/>
      <c r="K228" s="17"/>
      <c r="L228" s="17"/>
      <c r="M228" s="17" t="str">
        <f>IF(COUNTA(J228:L228)=2,ROUND(PRODUCT(J228:L228),2),"")</f>
        <v/>
      </c>
      <c r="N228" s="17" t="str">
        <f>IF(OR(COUNTA(J228:L228)=3,AND(COUNTA(J228:L228)=1,M228&lt;&gt;"")),ROUND(PRODUCT(J228:M228),2),"")</f>
        <v/>
      </c>
      <c r="O228" s="17">
        <f>IF(N228&lt;&gt;"",ROUND(PRODUCT(H228,I228,N228),2),IF(M228&lt;&gt;"",ROUND(PRODUCT(H228,I228,M228),2),ROUND(PRODUCT(H228:L228),2)))</f>
        <v>5</v>
      </c>
      <c r="P228" s="17"/>
    </row>
    <row r="229" spans="1:16" ht="15" customHeight="1" x14ac:dyDescent="0.25">
      <c r="A229" s="3"/>
      <c r="B229" s="3"/>
      <c r="C229" s="3"/>
      <c r="D229" s="3"/>
      <c r="E229" s="3"/>
      <c r="F229" s="3"/>
      <c r="G229" s="3"/>
      <c r="H229" s="3"/>
      <c r="I229" s="3"/>
      <c r="J229" s="3"/>
      <c r="K229" s="3"/>
      <c r="L229" s="3"/>
      <c r="M229" s="3"/>
      <c r="N229" s="3"/>
      <c r="O229" s="3"/>
      <c r="P229" s="3"/>
    </row>
    <row r="230" spans="1:16" ht="15" customHeight="1" x14ac:dyDescent="0.25">
      <c r="A230" s="15">
        <v>14</v>
      </c>
      <c r="B230" s="87" t="s">
        <v>281</v>
      </c>
      <c r="C230" s="88"/>
      <c r="D230" s="88"/>
      <c r="E230" s="88"/>
      <c r="F230" s="88"/>
      <c r="G230" s="88"/>
      <c r="H230" s="88"/>
      <c r="I230" s="88"/>
      <c r="J230" s="88"/>
      <c r="K230" s="88"/>
      <c r="L230" s="88"/>
      <c r="M230" s="88"/>
      <c r="N230" s="88"/>
      <c r="O230" s="88"/>
      <c r="P230" s="89"/>
    </row>
    <row r="231" spans="1:16" ht="45" customHeight="1" x14ac:dyDescent="0.25">
      <c r="A231" s="16" t="s">
        <v>100</v>
      </c>
      <c r="B231" s="20">
        <v>97622</v>
      </c>
      <c r="C231" s="84" t="str">
        <f>VLOOKUP(B231,COMPOSICAO!B:K,2,FALSE)</f>
        <v>DEMOLIÇÃO DE ALVENARIA DE BLOCO FURADO, DE FORMA MANUAL, SEM REAPROVEITAMENTO. AF_12/2017</v>
      </c>
      <c r="D231" s="85"/>
      <c r="E231" s="85"/>
      <c r="F231" s="86"/>
      <c r="G231" s="16" t="str">
        <f>VLOOKUP(B231,COMPOSICAO!B:K,6,FALSE)</f>
        <v>M3</v>
      </c>
      <c r="H231" s="16"/>
      <c r="I231" s="16"/>
      <c r="J231" s="16"/>
      <c r="K231" s="16"/>
      <c r="L231" s="16"/>
      <c r="M231" s="16"/>
      <c r="N231" s="16"/>
      <c r="O231" s="16"/>
      <c r="P231" s="17">
        <f>SUM(O231:O235)</f>
        <v>3.62</v>
      </c>
    </row>
    <row r="232" spans="1:16" ht="15" customHeight="1" x14ac:dyDescent="0.25">
      <c r="A232" s="16" t="s">
        <v>282</v>
      </c>
      <c r="B232" s="84" t="s">
        <v>283</v>
      </c>
      <c r="C232" s="85"/>
      <c r="D232" s="85"/>
      <c r="E232" s="85"/>
      <c r="F232" s="86"/>
      <c r="G232" s="16"/>
      <c r="H232" s="17"/>
      <c r="I232" s="17"/>
      <c r="J232" s="17">
        <v>0.9</v>
      </c>
      <c r="K232" s="17">
        <v>0.15</v>
      </c>
      <c r="L232" s="17">
        <v>2.1</v>
      </c>
      <c r="M232" s="17" t="str">
        <f>IF(COUNTA(J232:L232)=2,ROUND(PRODUCT(J232:L232),2),"")</f>
        <v/>
      </c>
      <c r="N232" s="17">
        <f>IF(OR(COUNTA(J232:L232)=3,AND(COUNTA(J232:L232)=1,M232&lt;&gt;"")),ROUND(PRODUCT(J232:M232),2),"")</f>
        <v>0.28000000000000003</v>
      </c>
      <c r="O232" s="17">
        <f>IF(N232&lt;&gt;"",ROUND(PRODUCT(H232,I232,N232),2),IF(M232&lt;&gt;"",ROUND(PRODUCT(H232,I232,M232),2),ROUND(PRODUCT(H232:L232),2)))</f>
        <v>0.28000000000000003</v>
      </c>
      <c r="P232" s="17"/>
    </row>
    <row r="233" spans="1:16" ht="15" customHeight="1" x14ac:dyDescent="0.25">
      <c r="A233" s="16" t="s">
        <v>284</v>
      </c>
      <c r="B233" s="84" t="s">
        <v>285</v>
      </c>
      <c r="C233" s="85"/>
      <c r="D233" s="85"/>
      <c r="E233" s="85"/>
      <c r="F233" s="86"/>
      <c r="G233" s="16"/>
      <c r="H233" s="17"/>
      <c r="I233" s="17"/>
      <c r="J233" s="17">
        <v>3.3</v>
      </c>
      <c r="K233" s="17">
        <v>0.15</v>
      </c>
      <c r="L233" s="17">
        <v>2.5</v>
      </c>
      <c r="M233" s="17" t="str">
        <f>IF(COUNTA(J233:L233)=2,ROUND(PRODUCT(J233:L233),2),"")</f>
        <v/>
      </c>
      <c r="N233" s="17">
        <f>IF(OR(COUNTA(J233:L233)=3,AND(COUNTA(J233:L233)=1,M233&lt;&gt;"")),ROUND(PRODUCT(J233:M233),2),"")</f>
        <v>1.24</v>
      </c>
      <c r="O233" s="17">
        <f>IF(N233&lt;&gt;"",ROUND(PRODUCT(H233,I233,N233),2),IF(M233&lt;&gt;"",ROUND(PRODUCT(H233,I233,M233),2),ROUND(PRODUCT(H233:L233),2)))</f>
        <v>1.24</v>
      </c>
      <c r="P233" s="17"/>
    </row>
    <row r="234" spans="1:16" ht="15" customHeight="1" x14ac:dyDescent="0.25">
      <c r="A234" s="16" t="s">
        <v>286</v>
      </c>
      <c r="B234" s="84" t="s">
        <v>287</v>
      </c>
      <c r="C234" s="85"/>
      <c r="D234" s="85"/>
      <c r="E234" s="85"/>
      <c r="F234" s="86"/>
      <c r="G234" s="16"/>
      <c r="H234" s="17">
        <v>2</v>
      </c>
      <c r="I234" s="17"/>
      <c r="J234" s="17">
        <v>5</v>
      </c>
      <c r="K234" s="17">
        <v>0.1</v>
      </c>
      <c r="L234" s="17">
        <v>2.1</v>
      </c>
      <c r="M234" s="17" t="str">
        <f>IF(COUNTA(J234:L234)=2,ROUND(PRODUCT(J234:L234),2),"")</f>
        <v/>
      </c>
      <c r="N234" s="17">
        <f>IF(OR(COUNTA(J234:L234)=3,AND(COUNTA(J234:L234)=1,M234&lt;&gt;"")),ROUND(PRODUCT(J234:M234),2),"")</f>
        <v>1.05</v>
      </c>
      <c r="O234" s="17">
        <f>IF(N234&lt;&gt;"",ROUND(PRODUCT(H234,I234,N234),2),IF(M234&lt;&gt;"",ROUND(PRODUCT(H234,I234,M234),2),ROUND(PRODUCT(H234:L234),2)))</f>
        <v>2.1</v>
      </c>
      <c r="P234" s="17"/>
    </row>
    <row r="235" spans="1:16" ht="15" customHeight="1" x14ac:dyDescent="0.25">
      <c r="A235" s="3"/>
      <c r="B235" s="3"/>
      <c r="C235" s="3"/>
      <c r="D235" s="3"/>
      <c r="E235" s="3"/>
      <c r="F235" s="3"/>
      <c r="G235" s="3"/>
      <c r="H235" s="3"/>
      <c r="I235" s="3"/>
      <c r="J235" s="3"/>
      <c r="K235" s="3"/>
      <c r="L235" s="3"/>
      <c r="M235" s="3"/>
      <c r="N235" s="3"/>
      <c r="O235" s="3"/>
      <c r="P235" s="3"/>
    </row>
    <row r="236" spans="1:16" ht="105" customHeight="1" x14ac:dyDescent="0.25">
      <c r="A236" s="16" t="s">
        <v>101</v>
      </c>
      <c r="B236" s="20">
        <v>89048</v>
      </c>
      <c r="C236" s="84" t="str">
        <f>VLOOKUP(B236,COMPOSICAO!B:K,2,FALSE)</f>
        <v>(COMPOSIÇÃO REPRESENTATIVA) DO SERVIÇO DE EMBOÇO/MASSA ÚNICA, TRAÇO 1:2:8, PREPARO MECÂNICO, COM BETONEIRA DE 400L, EM PAREDES DE AMBIENTES INTERNOS, COM EXECUÇÃO DE TALISCAS, PARA EDIFICAÇÃO HABITACIONAL MULTIFAMILIAR (PRÉDIO). AF_11/2014</v>
      </c>
      <c r="D236" s="85"/>
      <c r="E236" s="85"/>
      <c r="F236" s="86"/>
      <c r="G236" s="16" t="str">
        <f>VLOOKUP(B236,COMPOSICAO!B:K,6,FALSE)</f>
        <v>M2</v>
      </c>
      <c r="H236" s="16"/>
      <c r="I236" s="16"/>
      <c r="J236" s="16"/>
      <c r="K236" s="16"/>
      <c r="L236" s="16"/>
      <c r="M236" s="16"/>
      <c r="N236" s="16"/>
      <c r="O236" s="16"/>
      <c r="P236" s="17">
        <f>SUM(O236:O238)</f>
        <v>5</v>
      </c>
    </row>
    <row r="237" spans="1:16" ht="15" customHeight="1" x14ac:dyDescent="0.25">
      <c r="A237" s="16" t="s">
        <v>288</v>
      </c>
      <c r="B237" s="84" t="s">
        <v>11</v>
      </c>
      <c r="C237" s="85"/>
      <c r="D237" s="85"/>
      <c r="E237" s="85"/>
      <c r="F237" s="86"/>
      <c r="G237" s="16"/>
      <c r="H237" s="17"/>
      <c r="I237" s="17"/>
      <c r="J237" s="17"/>
      <c r="K237" s="17"/>
      <c r="L237" s="17"/>
      <c r="M237" s="17">
        <v>5</v>
      </c>
      <c r="N237" s="17" t="str">
        <f>IF(OR(COUNTA(J237:L237)=3,AND(COUNTA(J237:L237)=1,M237&lt;&gt;"")),ROUND(PRODUCT(J237:M237),2),"")</f>
        <v/>
      </c>
      <c r="O237" s="17">
        <f>IF(N237&lt;&gt;"",ROUND(PRODUCT(H237,I237,N237),2),IF(M237&lt;&gt;"",ROUND(PRODUCT(H237,I237,M237),2),ROUND(PRODUCT(H237:L237),2)))</f>
        <v>5</v>
      </c>
      <c r="P237" s="17"/>
    </row>
    <row r="238" spans="1:16" ht="15" customHeight="1" x14ac:dyDescent="0.25">
      <c r="A238" s="3"/>
      <c r="B238" s="3"/>
      <c r="C238" s="3"/>
      <c r="D238" s="3"/>
      <c r="E238" s="3"/>
      <c r="F238" s="3"/>
      <c r="G238" s="3"/>
      <c r="H238" s="3"/>
      <c r="I238" s="3"/>
      <c r="J238" s="3"/>
      <c r="K238" s="3"/>
      <c r="L238" s="3"/>
      <c r="M238" s="3"/>
      <c r="N238" s="3"/>
      <c r="O238" s="3"/>
      <c r="P238" s="3"/>
    </row>
    <row r="239" spans="1:16" ht="15" customHeight="1" x14ac:dyDescent="0.25">
      <c r="A239" s="15">
        <v>15</v>
      </c>
      <c r="B239" s="87" t="s">
        <v>289</v>
      </c>
      <c r="C239" s="88"/>
      <c r="D239" s="88"/>
      <c r="E239" s="88"/>
      <c r="F239" s="88"/>
      <c r="G239" s="88"/>
      <c r="H239" s="88"/>
      <c r="I239" s="88"/>
      <c r="J239" s="88"/>
      <c r="K239" s="88"/>
      <c r="L239" s="88"/>
      <c r="M239" s="88"/>
      <c r="N239" s="88"/>
      <c r="O239" s="88"/>
      <c r="P239" s="89"/>
    </row>
    <row r="240" spans="1:16" ht="45" customHeight="1" x14ac:dyDescent="0.25">
      <c r="A240" s="16" t="s">
        <v>102</v>
      </c>
      <c r="B240" s="16" t="s">
        <v>290</v>
      </c>
      <c r="C240" s="84" t="str">
        <f>VLOOKUP(B240,COMPOSICAO!B:K,2,FALSE)</f>
        <v>RETIRADA DE ENTULHO DA OBRA UTILIZANDO CAIXA COLETORA CAPACIDADE 5 M3 (LOCAL: ARACAJU)</v>
      </c>
      <c r="D240" s="85"/>
      <c r="E240" s="85"/>
      <c r="F240" s="86"/>
      <c r="G240" s="16" t="str">
        <f>VLOOKUP(B240,COMPOSICAO!B:K,6,FALSE)</f>
        <v>M3</v>
      </c>
      <c r="H240" s="16"/>
      <c r="I240" s="16"/>
      <c r="J240" s="16"/>
      <c r="K240" s="16"/>
      <c r="L240" s="16"/>
      <c r="M240" s="16"/>
      <c r="N240" s="16"/>
      <c r="O240" s="16"/>
      <c r="P240" s="17">
        <f>SUM(O240:O242)</f>
        <v>30</v>
      </c>
    </row>
    <row r="241" spans="1:16" ht="15" customHeight="1" x14ac:dyDescent="0.25">
      <c r="A241" s="16" t="s">
        <v>291</v>
      </c>
      <c r="B241" s="84" t="s">
        <v>11</v>
      </c>
      <c r="C241" s="85"/>
      <c r="D241" s="85"/>
      <c r="E241" s="85"/>
      <c r="F241" s="86"/>
      <c r="G241" s="16"/>
      <c r="H241" s="17">
        <v>30</v>
      </c>
      <c r="I241" s="17"/>
      <c r="J241" s="17"/>
      <c r="K241" s="17"/>
      <c r="L241" s="17"/>
      <c r="M241" s="17" t="str">
        <f>IF(COUNTA(J241:L241)=2,ROUND(PRODUCT(J241:L241),2),"")</f>
        <v/>
      </c>
      <c r="N241" s="17" t="str">
        <f>IF(OR(COUNTA(J241:L241)=3,AND(COUNTA(J241:L241)=1,M241&lt;&gt;"")),ROUND(PRODUCT(J241:M241),2),"")</f>
        <v/>
      </c>
      <c r="O241" s="17">
        <f>IF(N241&lt;&gt;"",ROUND(PRODUCT(H241,I241,N241),2),IF(M241&lt;&gt;"",ROUND(PRODUCT(H241,I241,M241),2),ROUND(PRODUCT(H241:L241),2)))</f>
        <v>30</v>
      </c>
      <c r="P241" s="17"/>
    </row>
    <row r="242" spans="1:16" ht="15" customHeight="1" x14ac:dyDescent="0.25">
      <c r="A242" s="3"/>
      <c r="B242" s="3"/>
      <c r="C242" s="3"/>
      <c r="D242" s="3"/>
      <c r="E242" s="3"/>
      <c r="F242" s="3"/>
      <c r="G242" s="3"/>
      <c r="H242" s="3"/>
      <c r="I242" s="3"/>
      <c r="J242" s="3"/>
      <c r="K242" s="3"/>
      <c r="L242" s="3"/>
      <c r="M242" s="3"/>
      <c r="N242" s="3"/>
      <c r="O242" s="3"/>
      <c r="P242" s="3"/>
    </row>
    <row r="243" spans="1:16" ht="15" customHeight="1" x14ac:dyDescent="0.25">
      <c r="A243" s="16" t="s">
        <v>103</v>
      </c>
      <c r="B243" s="16" t="s">
        <v>292</v>
      </c>
      <c r="C243" s="84" t="str">
        <f>VLOOKUP(B243,COMPOSICAO!B:K,2,FALSE)</f>
        <v>LIMPEZA GERAL</v>
      </c>
      <c r="D243" s="85"/>
      <c r="E243" s="85"/>
      <c r="F243" s="86"/>
      <c r="G243" s="16" t="str">
        <f>VLOOKUP(B243,COMPOSICAO!B:K,6,FALSE)</f>
        <v>M2</v>
      </c>
      <c r="H243" s="16"/>
      <c r="I243" s="16"/>
      <c r="J243" s="16"/>
      <c r="K243" s="16"/>
      <c r="L243" s="16"/>
      <c r="M243" s="16"/>
      <c r="N243" s="16"/>
      <c r="O243" s="16"/>
      <c r="P243" s="17">
        <f>SUM(O243:O245)</f>
        <v>204.5</v>
      </c>
    </row>
    <row r="244" spans="1:16" ht="15" customHeight="1" x14ac:dyDescent="0.25">
      <c r="A244" s="16" t="s">
        <v>293</v>
      </c>
      <c r="B244" s="84" t="s">
        <v>11</v>
      </c>
      <c r="C244" s="85"/>
      <c r="D244" s="85"/>
      <c r="E244" s="85"/>
      <c r="F244" s="86"/>
      <c r="G244" s="16"/>
      <c r="H244" s="17"/>
      <c r="I244" s="17"/>
      <c r="J244" s="17"/>
      <c r="K244" s="17"/>
      <c r="L244" s="17"/>
      <c r="M244" s="17">
        <v>204.5</v>
      </c>
      <c r="N244" s="17" t="str">
        <f>IF(OR(COUNTA(J244:L244)=3,AND(COUNTA(J244:L244)=1,M244&lt;&gt;"")),ROUND(PRODUCT(J244:M244),2),"")</f>
        <v/>
      </c>
      <c r="O244" s="17">
        <f>IF(N244&lt;&gt;"",ROUND(PRODUCT(H244,I244,N244),2),IF(M244&lt;&gt;"",ROUND(PRODUCT(H244,I244,M244),2),ROUND(PRODUCT(H244:L244),2)))</f>
        <v>204.5</v>
      </c>
      <c r="P244" s="17"/>
    </row>
  </sheetData>
  <sheetProtection formatCells="0" formatColumns="0" formatRows="0" insertColumns="0" insertRows="0" insertHyperlinks="0" deleteColumns="0" deleteRows="0" sort="0" autoFilter="0" pivotTables="0"/>
  <mergeCells count="176">
    <mergeCell ref="A1:P1"/>
    <mergeCell ref="A2:P2"/>
    <mergeCell ref="A3:P3"/>
    <mergeCell ref="K5:L5"/>
    <mergeCell ref="C6:F6"/>
    <mergeCell ref="B7:P7"/>
    <mergeCell ref="B16:F16"/>
    <mergeCell ref="C18:F18"/>
    <mergeCell ref="B19:F19"/>
    <mergeCell ref="C21:F21"/>
    <mergeCell ref="B22:F22"/>
    <mergeCell ref="C24:F24"/>
    <mergeCell ref="C8:F8"/>
    <mergeCell ref="B9:F9"/>
    <mergeCell ref="B11:P11"/>
    <mergeCell ref="C12:F12"/>
    <mergeCell ref="B13:F13"/>
    <mergeCell ref="C15:F15"/>
    <mergeCell ref="B34:F34"/>
    <mergeCell ref="C36:F36"/>
    <mergeCell ref="B37:F37"/>
    <mergeCell ref="B39:P39"/>
    <mergeCell ref="C40:F40"/>
    <mergeCell ref="B41:F41"/>
    <mergeCell ref="B25:F25"/>
    <mergeCell ref="C27:F27"/>
    <mergeCell ref="B28:F28"/>
    <mergeCell ref="C30:F30"/>
    <mergeCell ref="B31:F31"/>
    <mergeCell ref="C33:F33"/>
    <mergeCell ref="B49:F49"/>
    <mergeCell ref="C51:F51"/>
    <mergeCell ref="B52:F52"/>
    <mergeCell ref="C54:F54"/>
    <mergeCell ref="B55:F55"/>
    <mergeCell ref="B56:F56"/>
    <mergeCell ref="B42:F42"/>
    <mergeCell ref="B43:F43"/>
    <mergeCell ref="B44:F44"/>
    <mergeCell ref="B45:F45"/>
    <mergeCell ref="B46:F46"/>
    <mergeCell ref="C48:F48"/>
    <mergeCell ref="C65:F65"/>
    <mergeCell ref="B66:F66"/>
    <mergeCell ref="B67:F67"/>
    <mergeCell ref="B69:P69"/>
    <mergeCell ref="C70:F70"/>
    <mergeCell ref="B71:F71"/>
    <mergeCell ref="B57:F57"/>
    <mergeCell ref="B59:P59"/>
    <mergeCell ref="C60:F60"/>
    <mergeCell ref="B61:F61"/>
    <mergeCell ref="B62:F62"/>
    <mergeCell ref="B63:F63"/>
    <mergeCell ref="B81:F81"/>
    <mergeCell ref="C83:F83"/>
    <mergeCell ref="B84:F84"/>
    <mergeCell ref="C86:F86"/>
    <mergeCell ref="B87:F87"/>
    <mergeCell ref="C89:F89"/>
    <mergeCell ref="C73:F73"/>
    <mergeCell ref="B74:F74"/>
    <mergeCell ref="C76:F76"/>
    <mergeCell ref="B77:F77"/>
    <mergeCell ref="B79:P79"/>
    <mergeCell ref="C80:F80"/>
    <mergeCell ref="C98:F98"/>
    <mergeCell ref="B99:F99"/>
    <mergeCell ref="C101:F101"/>
    <mergeCell ref="B102:F102"/>
    <mergeCell ref="B103:F103"/>
    <mergeCell ref="C105:F105"/>
    <mergeCell ref="B90:F90"/>
    <mergeCell ref="B91:F91"/>
    <mergeCell ref="C93:F93"/>
    <mergeCell ref="B94:F94"/>
    <mergeCell ref="B95:F95"/>
    <mergeCell ref="B96:F96"/>
    <mergeCell ref="C114:F114"/>
    <mergeCell ref="B115:F115"/>
    <mergeCell ref="C117:F117"/>
    <mergeCell ref="B118:F118"/>
    <mergeCell ref="B119:F119"/>
    <mergeCell ref="C121:F121"/>
    <mergeCell ref="B106:F106"/>
    <mergeCell ref="B108:P108"/>
    <mergeCell ref="C109:F109"/>
    <mergeCell ref="B110:F110"/>
    <mergeCell ref="B111:F111"/>
    <mergeCell ref="B113:P113"/>
    <mergeCell ref="C131:F131"/>
    <mergeCell ref="B132:F132"/>
    <mergeCell ref="C134:F134"/>
    <mergeCell ref="B135:F135"/>
    <mergeCell ref="B137:P137"/>
    <mergeCell ref="C138:F138"/>
    <mergeCell ref="B122:F122"/>
    <mergeCell ref="C124:F124"/>
    <mergeCell ref="B125:F125"/>
    <mergeCell ref="B126:F126"/>
    <mergeCell ref="C128:F128"/>
    <mergeCell ref="B129:F129"/>
    <mergeCell ref="B148:P148"/>
    <mergeCell ref="C149:F149"/>
    <mergeCell ref="B150:F150"/>
    <mergeCell ref="C152:F152"/>
    <mergeCell ref="B153:F153"/>
    <mergeCell ref="C155:F155"/>
    <mergeCell ref="B139:F139"/>
    <mergeCell ref="C141:F141"/>
    <mergeCell ref="B142:F142"/>
    <mergeCell ref="C144:F144"/>
    <mergeCell ref="B145:F145"/>
    <mergeCell ref="B146:F146"/>
    <mergeCell ref="C165:F165"/>
    <mergeCell ref="B166:F166"/>
    <mergeCell ref="C168:F168"/>
    <mergeCell ref="B169:F169"/>
    <mergeCell ref="C171:F171"/>
    <mergeCell ref="B172:F172"/>
    <mergeCell ref="B156:F156"/>
    <mergeCell ref="B158:P158"/>
    <mergeCell ref="C159:F159"/>
    <mergeCell ref="B160:F160"/>
    <mergeCell ref="C162:F162"/>
    <mergeCell ref="B163:F163"/>
    <mergeCell ref="B182:F182"/>
    <mergeCell ref="C184:F184"/>
    <mergeCell ref="B185:F185"/>
    <mergeCell ref="B187:P187"/>
    <mergeCell ref="C188:F188"/>
    <mergeCell ref="B189:F189"/>
    <mergeCell ref="C174:F174"/>
    <mergeCell ref="B175:F175"/>
    <mergeCell ref="B177:P177"/>
    <mergeCell ref="C178:F178"/>
    <mergeCell ref="B179:F179"/>
    <mergeCell ref="C181:F181"/>
    <mergeCell ref="C200:F200"/>
    <mergeCell ref="B201:F201"/>
    <mergeCell ref="C203:F203"/>
    <mergeCell ref="B204:F204"/>
    <mergeCell ref="C206:F206"/>
    <mergeCell ref="B207:F207"/>
    <mergeCell ref="C191:F191"/>
    <mergeCell ref="B192:F192"/>
    <mergeCell ref="C194:F194"/>
    <mergeCell ref="B195:F195"/>
    <mergeCell ref="C197:F197"/>
    <mergeCell ref="B198:F198"/>
    <mergeCell ref="C218:F218"/>
    <mergeCell ref="B219:F219"/>
    <mergeCell ref="C221:F221"/>
    <mergeCell ref="B222:F222"/>
    <mergeCell ref="C224:F224"/>
    <mergeCell ref="B225:F225"/>
    <mergeCell ref="C209:F209"/>
    <mergeCell ref="B210:F210"/>
    <mergeCell ref="C212:F212"/>
    <mergeCell ref="B213:F213"/>
    <mergeCell ref="C215:F215"/>
    <mergeCell ref="B216:F216"/>
    <mergeCell ref="C243:F243"/>
    <mergeCell ref="B244:F244"/>
    <mergeCell ref="B234:F234"/>
    <mergeCell ref="C236:F236"/>
    <mergeCell ref="B237:F237"/>
    <mergeCell ref="B239:P239"/>
    <mergeCell ref="C240:F240"/>
    <mergeCell ref="B241:F241"/>
    <mergeCell ref="C227:F227"/>
    <mergeCell ref="B228:F228"/>
    <mergeCell ref="B230:P230"/>
    <mergeCell ref="C231:F231"/>
    <mergeCell ref="B232:F232"/>
    <mergeCell ref="B233:F233"/>
  </mergeCells>
  <pageMargins left="0.70866141732283472" right="0.70866141732283472" top="0.74803149606299213" bottom="0.74803149606299213" header="0.31496062992125984" footer="0.31496062992125984"/>
  <pageSetup scale="48" orientation="portrait" r:id="rId1"/>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3"/>
  <sheetViews>
    <sheetView showGridLines="0" view="pageBreakPreview" zoomScale="90" zoomScaleNormal="100" zoomScaleSheetLayoutView="90" workbookViewId="0">
      <selection activeCell="M19" sqref="M19"/>
    </sheetView>
  </sheetViews>
  <sheetFormatPr defaultRowHeight="15" customHeight="1" x14ac:dyDescent="0.25"/>
  <cols>
    <col min="1" max="1" width="14.7109375" style="1" customWidth="1"/>
    <col min="2" max="2" width="12.7109375" style="1" customWidth="1"/>
    <col min="3" max="3" width="4.7109375" style="1" customWidth="1"/>
    <col min="4" max="4" width="8.7109375" style="1" customWidth="1"/>
    <col min="5" max="5" width="25.7109375" style="1" customWidth="1"/>
    <col min="6" max="6" width="12.7109375" style="1" customWidth="1"/>
    <col min="7" max="7" width="8.7109375" style="1" customWidth="1"/>
    <col min="8" max="9" width="16.7109375" style="1" customWidth="1"/>
    <col min="10" max="11" width="8.7109375" style="1" customWidth="1"/>
    <col min="12" max="12" width="16.7109375" style="1" customWidth="1"/>
    <col min="13" max="13" width="27.5703125" style="1" customWidth="1"/>
    <col min="14" max="14" width="7.5703125" style="1" customWidth="1"/>
    <col min="15" max="16" width="22.85546875" style="1" customWidth="1"/>
    <col min="17" max="16384" width="9.140625" style="1"/>
  </cols>
  <sheetData>
    <row r="1" spans="1:14" ht="15" customHeight="1" x14ac:dyDescent="0.25">
      <c r="A1" s="52" t="str">
        <f>CIDADE</f>
        <v>MUNICÍPIO DE PICOS - PI</v>
      </c>
      <c r="B1" s="52"/>
      <c r="C1" s="52"/>
      <c r="D1" s="52"/>
      <c r="E1" s="52"/>
      <c r="F1" s="52"/>
      <c r="G1" s="52"/>
      <c r="H1" s="52"/>
      <c r="I1" s="52"/>
      <c r="J1" s="52"/>
      <c r="K1" s="52"/>
    </row>
    <row r="2" spans="1:14" ht="15" customHeight="1" x14ac:dyDescent="0.25">
      <c r="A2" s="52" t="str">
        <f>OBRA</f>
        <v>AMPLIAÇÃO ANTIGO PRÉDIO IAPEP PICOS</v>
      </c>
      <c r="B2" s="52"/>
      <c r="C2" s="52"/>
      <c r="D2" s="52"/>
      <c r="E2" s="52"/>
      <c r="F2" s="52"/>
      <c r="G2" s="52"/>
      <c r="H2" s="52"/>
      <c r="I2" s="52"/>
      <c r="J2" s="52"/>
      <c r="K2" s="52"/>
    </row>
    <row r="3" spans="1:14" ht="15" customHeight="1" x14ac:dyDescent="0.25">
      <c r="A3" s="52" t="s">
        <v>294</v>
      </c>
      <c r="B3" s="52"/>
      <c r="C3" s="52"/>
      <c r="D3" s="52"/>
      <c r="E3" s="52"/>
      <c r="F3" s="52"/>
      <c r="G3" s="52"/>
      <c r="H3" s="52"/>
      <c r="I3" s="52"/>
      <c r="J3" s="52"/>
      <c r="K3" s="52"/>
    </row>
    <row r="4" spans="1:14" ht="15" customHeight="1" x14ac:dyDescent="0.25">
      <c r="A4" s="3"/>
      <c r="B4" s="3"/>
      <c r="C4" s="3"/>
      <c r="D4" s="3"/>
      <c r="E4" s="3"/>
      <c r="F4" s="3"/>
      <c r="G4" s="3"/>
      <c r="H4" s="3"/>
      <c r="I4" s="3"/>
      <c r="J4" s="3"/>
      <c r="K4" s="3"/>
      <c r="L4" s="3"/>
      <c r="M4" s="3"/>
      <c r="N4" s="3"/>
    </row>
    <row r="5" spans="1:14" ht="15" customHeight="1" x14ac:dyDescent="0.25">
      <c r="A5" s="2" t="s">
        <v>3</v>
      </c>
      <c r="B5" s="4" t="str">
        <f>FONTE&amp;ONERA</f>
        <v>SINAPI PI-06/2021, SEINFRA 27, ORSE-06/2021, SEM DESONERAÇÃO</v>
      </c>
      <c r="C5" s="2"/>
      <c r="D5" s="2"/>
      <c r="E5" s="2"/>
      <c r="G5" s="3"/>
      <c r="H5" s="2" t="s">
        <v>5</v>
      </c>
      <c r="I5" s="5">
        <f>LEI</f>
        <v>112.14999999999999</v>
      </c>
      <c r="J5" s="2" t="s">
        <v>6</v>
      </c>
      <c r="K5" s="5">
        <f>BDI</f>
        <v>20.8</v>
      </c>
      <c r="L5" s="3"/>
      <c r="M5" s="3"/>
      <c r="N5" s="3"/>
    </row>
    <row r="6" spans="1:14" ht="15" customHeight="1" x14ac:dyDescent="0.25">
      <c r="A6" s="10" t="s">
        <v>295</v>
      </c>
      <c r="B6" s="10" t="s">
        <v>31</v>
      </c>
      <c r="C6" s="82" t="s">
        <v>7</v>
      </c>
      <c r="D6" s="83"/>
      <c r="E6" s="83"/>
      <c r="F6" s="83"/>
      <c r="G6" s="6" t="s">
        <v>32</v>
      </c>
      <c r="H6" s="6" t="s">
        <v>296</v>
      </c>
      <c r="I6" s="6" t="s">
        <v>297</v>
      </c>
      <c r="J6" s="57" t="s">
        <v>9</v>
      </c>
      <c r="K6" s="58"/>
    </row>
    <row r="7" spans="1:14" ht="15" customHeight="1" x14ac:dyDescent="0.25">
      <c r="A7" s="6" t="s">
        <v>11</v>
      </c>
      <c r="B7" s="6" t="s">
        <v>298</v>
      </c>
      <c r="C7" s="91" t="s">
        <v>299</v>
      </c>
      <c r="D7" s="91"/>
      <c r="E7" s="91"/>
      <c r="F7" s="92"/>
      <c r="G7" s="6" t="s">
        <v>300</v>
      </c>
      <c r="H7" s="21"/>
      <c r="I7" s="21">
        <f>J11</f>
        <v>134.46</v>
      </c>
      <c r="J7" s="76"/>
      <c r="K7" s="72"/>
      <c r="L7" s="21">
        <v>0</v>
      </c>
      <c r="M7" s="6" t="s">
        <v>301</v>
      </c>
    </row>
    <row r="8" spans="1:14" ht="30" customHeight="1" x14ac:dyDescent="0.25">
      <c r="A8" s="16" t="s">
        <v>302</v>
      </c>
      <c r="B8" s="20">
        <v>90777</v>
      </c>
      <c r="C8" s="77" t="str">
        <f>VLOOKUP(B8,IF(A8="COMPOSICAO",S!$A:$D,I!$A:$D),2,FALSE)</f>
        <v>ENGENHEIRO CIVIL DE OBRA JUNIOR COM ENCARGOS COMPLEMENTARES</v>
      </c>
      <c r="D8" s="77"/>
      <c r="E8" s="77"/>
      <c r="F8" s="77"/>
      <c r="G8" s="16" t="str">
        <f>VLOOKUP(B8,IF(A8="COMPOSICAO",S!$A:$D,I!$A:$D),3,FALSE)</f>
        <v>H</v>
      </c>
      <c r="H8" s="22">
        <f>0.5</f>
        <v>0.5</v>
      </c>
      <c r="I8" s="17">
        <f>IF(A8="COMPOSICAO",VLOOKUP("TOTAL - "&amp;B8,COMPOSICAO_AUX_1!$A:$J,10,FALSE),VLOOKUP(B8,I!$A:$D,4,FALSE))</f>
        <v>92.27</v>
      </c>
      <c r="J8" s="80">
        <f>TRUNC(H8*I8,2)</f>
        <v>46.13</v>
      </c>
      <c r="K8" s="81"/>
      <c r="L8" s="3"/>
      <c r="M8" s="3"/>
      <c r="N8" s="3"/>
    </row>
    <row r="9" spans="1:14" ht="15" customHeight="1" x14ac:dyDescent="0.25">
      <c r="A9" s="16" t="s">
        <v>302</v>
      </c>
      <c r="B9" s="20">
        <v>90776</v>
      </c>
      <c r="C9" s="77" t="str">
        <f>VLOOKUP(B9,IF(A9="COMPOSICAO",S!$A:$D,I!$A:$D),2,FALSE)</f>
        <v>ENCARREGADO GERAL COM ENCARGOS COMPLEMENTARES</v>
      </c>
      <c r="D9" s="77"/>
      <c r="E9" s="77"/>
      <c r="F9" s="77"/>
      <c r="G9" s="16" t="str">
        <f>VLOOKUP(B9,IF(A9="COMPOSICAO",S!$A:$D,I!$A:$D),3,FALSE)</f>
        <v>H</v>
      </c>
      <c r="H9" s="22">
        <f>2</f>
        <v>2</v>
      </c>
      <c r="I9" s="17">
        <f>IF(A9="COMPOSICAO",VLOOKUP("TOTAL - "&amp;B9,COMPOSICAO_AUX_1!$A:$J,10,FALSE),VLOOKUP(B9,I!$A:$D,4,FALSE))</f>
        <v>25.35</v>
      </c>
      <c r="J9" s="80">
        <f>TRUNC(H9*I9,2)</f>
        <v>50.7</v>
      </c>
      <c r="K9" s="81"/>
      <c r="L9" s="3"/>
      <c r="M9" s="3"/>
      <c r="N9" s="3"/>
    </row>
    <row r="10" spans="1:14" ht="15" customHeight="1" x14ac:dyDescent="0.25">
      <c r="A10" s="16" t="s">
        <v>302</v>
      </c>
      <c r="B10" s="20">
        <v>90780</v>
      </c>
      <c r="C10" s="77" t="str">
        <f>VLOOKUP(B10,IF(A10="COMPOSICAO",S!$A:$D,I!$A:$D),2,FALSE)</f>
        <v>MESTRE DE OBRAS COM ENCARGOS COMPLEMENTARES</v>
      </c>
      <c r="D10" s="77"/>
      <c r="E10" s="77"/>
      <c r="F10" s="77"/>
      <c r="G10" s="16" t="str">
        <f>VLOOKUP(B10,IF(A10="COMPOSICAO",S!$A:$D,I!$A:$D),3,FALSE)</f>
        <v>H</v>
      </c>
      <c r="H10" s="22">
        <f>1</f>
        <v>1</v>
      </c>
      <c r="I10" s="17">
        <f>IF(A10="COMPOSICAO",VLOOKUP("TOTAL - "&amp;B10,COMPOSICAO_AUX_1!$A:$J,10,FALSE),VLOOKUP(B10,I!$A:$D,4,FALSE))</f>
        <v>37.629999999999995</v>
      </c>
      <c r="J10" s="80">
        <f>TRUNC(H10*I10,2)</f>
        <v>37.630000000000003</v>
      </c>
      <c r="K10" s="81"/>
      <c r="L10" s="3"/>
      <c r="M10" s="3"/>
      <c r="N10" s="3"/>
    </row>
    <row r="11" spans="1:14" ht="15" customHeight="1" x14ac:dyDescent="0.25">
      <c r="A11" s="23" t="s">
        <v>303</v>
      </c>
      <c r="B11" s="24"/>
      <c r="C11" s="24"/>
      <c r="D11" s="24"/>
      <c r="E11" s="24"/>
      <c r="F11" s="24"/>
      <c r="G11" s="25"/>
      <c r="H11" s="26"/>
      <c r="I11" s="27"/>
      <c r="J11" s="80">
        <f>SUM(J7:K10)</f>
        <v>134.46</v>
      </c>
      <c r="K11" s="81"/>
    </row>
    <row r="12" spans="1:14" ht="15" customHeight="1" x14ac:dyDescent="0.25">
      <c r="A12" s="23" t="str">
        <f>"TAXA DE BDI ("&amp;BDI&amp;" %)"</f>
        <v>TAXA DE BDI (20,8 %)</v>
      </c>
      <c r="B12" s="24"/>
      <c r="C12" s="24"/>
      <c r="D12" s="24"/>
      <c r="E12" s="24"/>
      <c r="F12" s="24"/>
      <c r="G12" s="25"/>
      <c r="H12" s="26"/>
      <c r="I12" s="27"/>
      <c r="J12" s="80">
        <f>ROUND(J11*(BDI/100),2)</f>
        <v>27.97</v>
      </c>
      <c r="K12" s="81"/>
    </row>
    <row r="13" spans="1:14" ht="15" customHeight="1" x14ac:dyDescent="0.25">
      <c r="A13" s="23" t="s">
        <v>304</v>
      </c>
      <c r="B13" s="24"/>
      <c r="C13" s="24"/>
      <c r="D13" s="24"/>
      <c r="E13" s="24"/>
      <c r="F13" s="24"/>
      <c r="G13" s="25"/>
      <c r="H13" s="26"/>
      <c r="I13" s="27"/>
      <c r="J13" s="80">
        <f>SUM(J11:K12)</f>
        <v>162.43</v>
      </c>
      <c r="K13" s="81"/>
    </row>
    <row r="14" spans="1:14" ht="15" customHeight="1" x14ac:dyDescent="0.25">
      <c r="A14" s="3"/>
      <c r="B14" s="3"/>
      <c r="C14" s="3"/>
      <c r="D14" s="3"/>
      <c r="E14" s="3"/>
      <c r="F14" s="3"/>
      <c r="G14" s="3"/>
      <c r="H14" s="3"/>
      <c r="I14" s="3"/>
      <c r="J14" s="3"/>
      <c r="K14" s="3"/>
    </row>
    <row r="15" spans="1:14" ht="15" customHeight="1" x14ac:dyDescent="0.25">
      <c r="A15" s="10" t="s">
        <v>295</v>
      </c>
      <c r="B15" s="10" t="s">
        <v>31</v>
      </c>
      <c r="C15" s="82" t="s">
        <v>7</v>
      </c>
      <c r="D15" s="83"/>
      <c r="E15" s="83"/>
      <c r="F15" s="83"/>
      <c r="G15" s="6" t="s">
        <v>32</v>
      </c>
      <c r="H15" s="6" t="s">
        <v>296</v>
      </c>
      <c r="I15" s="6" t="s">
        <v>297</v>
      </c>
      <c r="J15" s="57" t="s">
        <v>9</v>
      </c>
      <c r="K15" s="58"/>
    </row>
    <row r="16" spans="1:14" ht="15" customHeight="1" x14ac:dyDescent="0.25">
      <c r="A16" s="6" t="s">
        <v>11</v>
      </c>
      <c r="B16" s="6" t="s">
        <v>116</v>
      </c>
      <c r="C16" s="91" t="s">
        <v>305</v>
      </c>
      <c r="D16" s="91"/>
      <c r="E16" s="91"/>
      <c r="F16" s="92"/>
      <c r="G16" s="6" t="s">
        <v>129</v>
      </c>
      <c r="H16" s="21"/>
      <c r="I16" s="21">
        <f>J24</f>
        <v>312.45000000000005</v>
      </c>
      <c r="J16" s="76"/>
      <c r="K16" s="72"/>
      <c r="L16" s="21">
        <v>0</v>
      </c>
      <c r="M16" s="6" t="s">
        <v>301</v>
      </c>
    </row>
    <row r="17" spans="1:14" ht="60" customHeight="1" x14ac:dyDescent="0.25">
      <c r="A17" s="16" t="s">
        <v>302</v>
      </c>
      <c r="B17" s="20">
        <v>94962</v>
      </c>
      <c r="C17" s="77" t="str">
        <f>VLOOKUP(B17,IF(A17="COMPOSICAO",S!$A:$D,I!$A:$D),2,FALSE)</f>
        <v>CONCRETO MAGRO PARA LASTRO, TRAÇO 1:4,5:4,5 (EM MASSA SECA DE CIMENTO/ AREIA MÉDIA/ BRITA 1) - PREPARO MECÂNICO COM BETONEIRA 400 L. AF_05/2021</v>
      </c>
      <c r="D17" s="77"/>
      <c r="E17" s="77"/>
      <c r="F17" s="77"/>
      <c r="G17" s="16" t="str">
        <f>VLOOKUP(B17,IF(A17="COMPOSICAO",S!$A:$D,I!$A:$D),3,FALSE)</f>
        <v>M3</v>
      </c>
      <c r="H17" s="22">
        <f>0.01</f>
        <v>0.01</v>
      </c>
      <c r="I17" s="17">
        <f>IF(A17="COMPOSICAO",VLOOKUP("TOTAL - "&amp;B17,COMPOSICAO_AUX_1!$A:$J,10,FALSE),VLOOKUP(B17,I!$A:$D,4,FALSE))</f>
        <v>313.14</v>
      </c>
      <c r="J17" s="80">
        <f t="shared" ref="J17:J23" si="0">TRUNC(H17*I17,2)</f>
        <v>3.13</v>
      </c>
      <c r="K17" s="81"/>
      <c r="L17" s="3"/>
      <c r="M17" s="3"/>
      <c r="N17" s="3"/>
    </row>
    <row r="18" spans="1:14" ht="30" customHeight="1" x14ac:dyDescent="0.25">
      <c r="A18" s="16" t="s">
        <v>302</v>
      </c>
      <c r="B18" s="20">
        <v>88262</v>
      </c>
      <c r="C18" s="77" t="str">
        <f>VLOOKUP(B18,IF(A18="COMPOSICAO",S!$A:$D,I!$A:$D),2,FALSE)</f>
        <v>CARPINTEIRO DE FORMAS COM ENCARGOS COMPLEMENTARES</v>
      </c>
      <c r="D18" s="77"/>
      <c r="E18" s="77"/>
      <c r="F18" s="77"/>
      <c r="G18" s="16" t="str">
        <f>VLOOKUP(B18,IF(A18="COMPOSICAO",S!$A:$D,I!$A:$D),3,FALSE)</f>
        <v>H</v>
      </c>
      <c r="H18" s="22">
        <f>1</f>
        <v>1</v>
      </c>
      <c r="I18" s="17">
        <f>IF(A18="COMPOSICAO",VLOOKUP("TOTAL - "&amp;B18,COMPOSICAO_AUX_1!$A:$J,10,FALSE),VLOOKUP(B18,I!$A:$D,4,FALSE))</f>
        <v>19.649999999999999</v>
      </c>
      <c r="J18" s="80">
        <f t="shared" si="0"/>
        <v>19.649999999999999</v>
      </c>
      <c r="K18" s="81"/>
      <c r="L18" s="3"/>
      <c r="M18" s="3"/>
      <c r="N18" s="3"/>
    </row>
    <row r="19" spans="1:14" ht="15" customHeight="1" x14ac:dyDescent="0.25">
      <c r="A19" s="16" t="s">
        <v>302</v>
      </c>
      <c r="B19" s="20">
        <v>88316</v>
      </c>
      <c r="C19" s="77" t="str">
        <f>VLOOKUP(B19,IF(A19="COMPOSICAO",S!$A:$D,I!$A:$D),2,FALSE)</f>
        <v>SERVENTE COM ENCARGOS COMPLEMENTARES</v>
      </c>
      <c r="D19" s="77"/>
      <c r="E19" s="77"/>
      <c r="F19" s="77"/>
      <c r="G19" s="16" t="str">
        <f>VLOOKUP(B19,IF(A19="COMPOSICAO",S!$A:$D,I!$A:$D),3,FALSE)</f>
        <v>H</v>
      </c>
      <c r="H19" s="22">
        <f>2</f>
        <v>2</v>
      </c>
      <c r="I19" s="17">
        <f>IF(A19="COMPOSICAO",VLOOKUP("TOTAL - "&amp;B19,COMPOSICAO_AUX_1!$A:$J,10,FALSE),VLOOKUP(B19,I!$A:$D,4,FALSE))</f>
        <v>15.35</v>
      </c>
      <c r="J19" s="80">
        <f t="shared" si="0"/>
        <v>30.7</v>
      </c>
      <c r="K19" s="81"/>
      <c r="L19" s="3"/>
      <c r="M19" s="3"/>
      <c r="N19" s="3"/>
    </row>
    <row r="20" spans="1:14" ht="45" customHeight="1" x14ac:dyDescent="0.25">
      <c r="A20" s="16" t="s">
        <v>306</v>
      </c>
      <c r="B20" s="20">
        <v>4813</v>
      </c>
      <c r="C20" s="77" t="str">
        <f>VLOOKUP(B20,IF(A20="COMPOSICAO",S!$A:$D,I!$A:$D),2,FALSE)</f>
        <v>PLACA DE OBRA (PARA CONSTRUCAO CIVIL) EM CHAPA GALVANIZADA *N. 22*, ADESIVADA, DE *2,0 X 1,125* M</v>
      </c>
      <c r="D20" s="77"/>
      <c r="E20" s="77"/>
      <c r="F20" s="77"/>
      <c r="G20" s="16" t="str">
        <f>VLOOKUP(B20,IF(A20="COMPOSICAO",S!$A:$D,I!$A:$D),3,FALSE)</f>
        <v>M2</v>
      </c>
      <c r="H20" s="22">
        <f>1</f>
        <v>1</v>
      </c>
      <c r="I20" s="17">
        <f>IF(A20="COMPOSICAO",VLOOKUP("TOTAL - "&amp;B20,COMPOSICAO_AUX_1!$A:$J,10,FALSE),VLOOKUP(B20,I!$A:$D,4,FALSE))</f>
        <v>225</v>
      </c>
      <c r="J20" s="80">
        <f t="shared" si="0"/>
        <v>225</v>
      </c>
      <c r="K20" s="81"/>
      <c r="L20" s="3"/>
      <c r="M20" s="3"/>
      <c r="N20" s="3"/>
    </row>
    <row r="21" spans="1:14" ht="30" customHeight="1" x14ac:dyDescent="0.25">
      <c r="A21" s="16" t="s">
        <v>306</v>
      </c>
      <c r="B21" s="20">
        <v>4491</v>
      </c>
      <c r="C21" s="77" t="str">
        <f>VLOOKUP(B21,IF(A21="COMPOSICAO",S!$A:$D,I!$A:$D),2,FALSE)</f>
        <v>PONTALETE *7,5 X 7,5* CM EM PINUS, MISTA OU EQUIVALENTE DA REGIAO - BRUTA</v>
      </c>
      <c r="D21" s="77"/>
      <c r="E21" s="77"/>
      <c r="F21" s="77"/>
      <c r="G21" s="16" t="str">
        <f>VLOOKUP(B21,IF(A21="COMPOSICAO",S!$A:$D,I!$A:$D),3,FALSE)</f>
        <v>M</v>
      </c>
      <c r="H21" s="22">
        <f>4</f>
        <v>4</v>
      </c>
      <c r="I21" s="17">
        <f>IF(A21="COMPOSICAO",VLOOKUP("TOTAL - "&amp;B21,COMPOSICAO_AUX_1!$A:$J,10,FALSE),VLOOKUP(B21,I!$A:$D,4,FALSE))</f>
        <v>6.67</v>
      </c>
      <c r="J21" s="80">
        <f t="shared" si="0"/>
        <v>26.68</v>
      </c>
      <c r="K21" s="81"/>
      <c r="L21" s="3"/>
      <c r="M21" s="3"/>
      <c r="N21" s="3"/>
    </row>
    <row r="22" spans="1:14" ht="30" customHeight="1" x14ac:dyDescent="0.25">
      <c r="A22" s="16" t="s">
        <v>306</v>
      </c>
      <c r="B22" s="20">
        <v>5075</v>
      </c>
      <c r="C22" s="77" t="str">
        <f>VLOOKUP(B22,IF(A22="COMPOSICAO",S!$A:$D,I!$A:$D),2,FALSE)</f>
        <v>PREGO DE ACO POLIDO COM CABECA 18 X 30 (2 3/4 X 10)</v>
      </c>
      <c r="D22" s="77"/>
      <c r="E22" s="77"/>
      <c r="F22" s="77"/>
      <c r="G22" s="16" t="str">
        <f>VLOOKUP(B22,IF(A22="COMPOSICAO",S!$A:$D,I!$A:$D),3,FALSE)</f>
        <v>KG</v>
      </c>
      <c r="H22" s="22">
        <f>0.11</f>
        <v>0.11</v>
      </c>
      <c r="I22" s="17">
        <f>IF(A22="COMPOSICAO",VLOOKUP("TOTAL - "&amp;B22,COMPOSICAO_AUX_1!$A:$J,10,FALSE),VLOOKUP(B22,I!$A:$D,4,FALSE))</f>
        <v>19.329999999999998</v>
      </c>
      <c r="J22" s="80">
        <f t="shared" si="0"/>
        <v>2.12</v>
      </c>
      <c r="K22" s="81"/>
      <c r="L22" s="3"/>
      <c r="M22" s="3"/>
      <c r="N22" s="3"/>
    </row>
    <row r="23" spans="1:14" ht="45" customHeight="1" x14ac:dyDescent="0.25">
      <c r="A23" s="16" t="s">
        <v>306</v>
      </c>
      <c r="B23" s="20">
        <v>4417</v>
      </c>
      <c r="C23" s="77" t="str">
        <f>VLOOKUP(B23,IF(A23="COMPOSICAO",S!$A:$D,I!$A:$D),2,FALSE)</f>
        <v>SARRAFO NAO APARELHADO *2,5 X 7* CM, EM MACARANDUBA, ANGELIM OU EQUIVALENTE DA REGIAO - BRUTA</v>
      </c>
      <c r="D23" s="77"/>
      <c r="E23" s="77"/>
      <c r="F23" s="77"/>
      <c r="G23" s="16" t="str">
        <f>VLOOKUP(B23,IF(A23="COMPOSICAO",S!$A:$D,I!$A:$D),3,FALSE)</f>
        <v>M</v>
      </c>
      <c r="H23" s="22">
        <f>1</f>
        <v>1</v>
      </c>
      <c r="I23" s="17">
        <f>IF(A23="COMPOSICAO",VLOOKUP("TOTAL - "&amp;B23,COMPOSICAO_AUX_1!$A:$J,10,FALSE),VLOOKUP(B23,I!$A:$D,4,FALSE))</f>
        <v>5.17</v>
      </c>
      <c r="J23" s="80">
        <f t="shared" si="0"/>
        <v>5.17</v>
      </c>
      <c r="K23" s="81"/>
      <c r="L23" s="3"/>
      <c r="M23" s="3"/>
      <c r="N23" s="3"/>
    </row>
    <row r="24" spans="1:14" ht="15" customHeight="1" x14ac:dyDescent="0.25">
      <c r="A24" s="23" t="s">
        <v>303</v>
      </c>
      <c r="B24" s="24"/>
      <c r="C24" s="24"/>
      <c r="D24" s="24"/>
      <c r="E24" s="24"/>
      <c r="F24" s="24"/>
      <c r="G24" s="25"/>
      <c r="H24" s="26"/>
      <c r="I24" s="27"/>
      <c r="J24" s="80">
        <f>SUM(J16:K23)</f>
        <v>312.45000000000005</v>
      </c>
      <c r="K24" s="81"/>
    </row>
    <row r="25" spans="1:14" ht="15" customHeight="1" x14ac:dyDescent="0.25">
      <c r="A25" s="23" t="str">
        <f>"TAXA DE BDI ("&amp;BDI&amp;" %)"</f>
        <v>TAXA DE BDI (20,8 %)</v>
      </c>
      <c r="B25" s="24"/>
      <c r="C25" s="24"/>
      <c r="D25" s="24"/>
      <c r="E25" s="24"/>
      <c r="F25" s="24"/>
      <c r="G25" s="25"/>
      <c r="H25" s="26"/>
      <c r="I25" s="27"/>
      <c r="J25" s="80">
        <f>ROUND(J24*(BDI/100),2)</f>
        <v>64.989999999999995</v>
      </c>
      <c r="K25" s="81"/>
    </row>
    <row r="26" spans="1:14" ht="15" customHeight="1" x14ac:dyDescent="0.25">
      <c r="A26" s="23" t="s">
        <v>307</v>
      </c>
      <c r="B26" s="24"/>
      <c r="C26" s="24"/>
      <c r="D26" s="24"/>
      <c r="E26" s="24"/>
      <c r="F26" s="24"/>
      <c r="G26" s="25"/>
      <c r="H26" s="26"/>
      <c r="I26" s="27"/>
      <c r="J26" s="80">
        <f>SUM(J24:K25)</f>
        <v>377.44000000000005</v>
      </c>
      <c r="K26" s="81"/>
    </row>
    <row r="27" spans="1:14" ht="15" customHeight="1" x14ac:dyDescent="0.25">
      <c r="A27" s="3"/>
      <c r="B27" s="3"/>
      <c r="C27" s="3"/>
      <c r="D27" s="3"/>
      <c r="E27" s="3"/>
      <c r="F27" s="3"/>
      <c r="G27" s="3"/>
      <c r="H27" s="3"/>
      <c r="I27" s="3"/>
      <c r="J27" s="3"/>
      <c r="K27" s="3"/>
    </row>
    <row r="28" spans="1:14" ht="15" customHeight="1" x14ac:dyDescent="0.25">
      <c r="A28" s="10" t="s">
        <v>295</v>
      </c>
      <c r="B28" s="10" t="s">
        <v>31</v>
      </c>
      <c r="C28" s="82" t="s">
        <v>7</v>
      </c>
      <c r="D28" s="83"/>
      <c r="E28" s="83"/>
      <c r="F28" s="83"/>
      <c r="G28" s="6" t="s">
        <v>32</v>
      </c>
      <c r="H28" s="6" t="s">
        <v>296</v>
      </c>
      <c r="I28" s="6" t="s">
        <v>297</v>
      </c>
      <c r="J28" s="57" t="s">
        <v>9</v>
      </c>
      <c r="K28" s="58"/>
    </row>
    <row r="29" spans="1:14" ht="60" customHeight="1" x14ac:dyDescent="0.25">
      <c r="A29" s="6" t="s">
        <v>11</v>
      </c>
      <c r="B29" s="6" t="s">
        <v>308</v>
      </c>
      <c r="C29" s="91" t="str">
        <f>VLOOKUP(B29,S!$A:$D,2,FALSE)</f>
        <v>LIGAÇÃO PREDIAL DE ÁGUA EM MURETA DE CONCRETO, PROVISÓRIA OU DEFINITIVA, COM FORNECIMENTO DE MATERIAL, INCLUSIVE MURETA E HIDRÔMETRO, REDE DN 50MM</v>
      </c>
      <c r="D29" s="91"/>
      <c r="E29" s="91"/>
      <c r="F29" s="92"/>
      <c r="G29" s="6" t="str">
        <f>VLOOKUP(B29,S!$A:$D,3,FALSE)</f>
        <v>UN</v>
      </c>
      <c r="H29" s="21"/>
      <c r="I29" s="21">
        <f>J48</f>
        <v>547.08000000000004</v>
      </c>
      <c r="J29" s="76"/>
      <c r="K29" s="72"/>
      <c r="L29" s="21">
        <f>VLOOKUP(B29,S!$A:$D,4,FALSE)</f>
        <v>536.48</v>
      </c>
      <c r="M29" s="6" t="str">
        <f>IF(ROUND((L29-I29),2)=0,"OK, confere com a tabela.",IF(ROUND((L29-I29),2)&lt;0,"ACIMA ("&amp;TEXT(ROUND(I29*100/L29,4),"0,0000")&amp;" %) da tabela.","ABAIXO ("&amp;TEXT(ROUND(I29*100/L29,4),"0,0000")&amp;" %) da tabela."))</f>
        <v>ACIMA (101,9758 %) da tabela.</v>
      </c>
    </row>
    <row r="30" spans="1:14" ht="15" customHeight="1" x14ac:dyDescent="0.25">
      <c r="A30" s="16" t="s">
        <v>306</v>
      </c>
      <c r="B30" s="16" t="s">
        <v>309</v>
      </c>
      <c r="C30" s="77" t="str">
        <f>VLOOKUP(B30,IF(A30="COMPOSICAO",S!$A:$D,I!$A:$D),2,FALSE)</f>
        <v>FITA VEDACAO TEFLON LARG= 1/2"</v>
      </c>
      <c r="D30" s="77"/>
      <c r="E30" s="77"/>
      <c r="F30" s="77"/>
      <c r="G30" s="16" t="str">
        <f>VLOOKUP(B30,IF(A30="COMPOSICAO",S!$A:$D,I!$A:$D),3,FALSE)</f>
        <v>M</v>
      </c>
      <c r="H30" s="22">
        <f>20</f>
        <v>20</v>
      </c>
      <c r="I30" s="17">
        <f>IF(A30="COMPOSICAO",VLOOKUP("TOTAL - "&amp;B30,COMPOSICAO_AUX_1!$A:$J,10,FALSE),VLOOKUP(B30,I!$A:$D,4,FALSE))</f>
        <v>0.28999999999999998</v>
      </c>
      <c r="J30" s="80">
        <f t="shared" ref="J30:J47" si="1">TRUNC(H30*I30,2)</f>
        <v>5.8</v>
      </c>
      <c r="K30" s="81"/>
      <c r="L30" s="3"/>
      <c r="M30" s="3"/>
      <c r="N30" s="3"/>
    </row>
    <row r="31" spans="1:14" ht="30" customHeight="1" x14ac:dyDescent="0.25">
      <c r="A31" s="16" t="s">
        <v>306</v>
      </c>
      <c r="B31" s="16" t="s">
        <v>310</v>
      </c>
      <c r="C31" s="77" t="str">
        <f>VLOOKUP(B31,IF(A31="COMPOSICAO",S!$A:$D,I!$A:$D),2,FALSE)</f>
        <v>TORNEIRA PLASTICA PARA JARDINS 1/2", HERC 1128 OU SIMILAR</v>
      </c>
      <c r="D31" s="77"/>
      <c r="E31" s="77"/>
      <c r="F31" s="77"/>
      <c r="G31" s="16" t="str">
        <f>VLOOKUP(B31,IF(A31="COMPOSICAO",S!$A:$D,I!$A:$D),3,FALSE)</f>
        <v>UN</v>
      </c>
      <c r="H31" s="22">
        <f>1</f>
        <v>1</v>
      </c>
      <c r="I31" s="17">
        <f>IF(A31="COMPOSICAO",VLOOKUP("TOTAL - "&amp;B31,COMPOSICAO_AUX_1!$A:$J,10,FALSE),VLOOKUP(B31,I!$A:$D,4,FALSE))</f>
        <v>2.13</v>
      </c>
      <c r="J31" s="80">
        <f t="shared" si="1"/>
        <v>2.13</v>
      </c>
      <c r="K31" s="81"/>
      <c r="L31" s="3"/>
      <c r="M31" s="3"/>
      <c r="N31" s="3"/>
    </row>
    <row r="32" spans="1:14" ht="15" customHeight="1" x14ac:dyDescent="0.25">
      <c r="A32" s="16" t="s">
        <v>306</v>
      </c>
      <c r="B32" s="16" t="s">
        <v>311</v>
      </c>
      <c r="C32" s="77" t="str">
        <f>VLOOKUP(B32,IF(A32="COMPOSICAO",S!$A:$D,I!$A:$D),2,FALSE)</f>
        <v>UNIAO PVC RIGIDO ROSCAVEL  D= 1/2"</v>
      </c>
      <c r="D32" s="77"/>
      <c r="E32" s="77"/>
      <c r="F32" s="77"/>
      <c r="G32" s="16" t="str">
        <f>VLOOKUP(B32,IF(A32="COMPOSICAO",S!$A:$D,I!$A:$D),3,FALSE)</f>
        <v>UN</v>
      </c>
      <c r="H32" s="22">
        <f>2</f>
        <v>2</v>
      </c>
      <c r="I32" s="17">
        <f>IF(A32="COMPOSICAO",VLOOKUP("TOTAL - "&amp;B32,COMPOSICAO_AUX_1!$A:$J,10,FALSE),VLOOKUP(B32,I!$A:$D,4,FALSE))</f>
        <v>7.56</v>
      </c>
      <c r="J32" s="80">
        <f t="shared" si="1"/>
        <v>15.12</v>
      </c>
      <c r="K32" s="81"/>
      <c r="L32" s="3"/>
      <c r="M32" s="3"/>
      <c r="N32" s="3"/>
    </row>
    <row r="33" spans="1:14" ht="15" customHeight="1" x14ac:dyDescent="0.25">
      <c r="A33" s="16" t="s">
        <v>306</v>
      </c>
      <c r="B33" s="16" t="s">
        <v>312</v>
      </c>
      <c r="C33" s="77" t="str">
        <f>VLOOKUP(B33,IF(A33="COMPOSICAO",S!$A:$D,I!$A:$D),2,FALSE)</f>
        <v>ADAPTADOR PEAD 20MM X  1/2"</v>
      </c>
      <c r="D33" s="77"/>
      <c r="E33" s="77"/>
      <c r="F33" s="77"/>
      <c r="G33" s="16" t="str">
        <f>VLOOKUP(B33,IF(A33="COMPOSICAO",S!$A:$D,I!$A:$D),3,FALSE)</f>
        <v>UN</v>
      </c>
      <c r="H33" s="22">
        <f>2</f>
        <v>2</v>
      </c>
      <c r="I33" s="17">
        <f>IF(A33="COMPOSICAO",VLOOKUP("TOTAL - "&amp;B33,COMPOSICAO_AUX_1!$A:$J,10,FALSE),VLOOKUP(B33,I!$A:$D,4,FALSE))</f>
        <v>4.55</v>
      </c>
      <c r="J33" s="80">
        <f t="shared" si="1"/>
        <v>9.1</v>
      </c>
      <c r="K33" s="81"/>
      <c r="L33" s="3"/>
      <c r="M33" s="3"/>
      <c r="N33" s="3"/>
    </row>
    <row r="34" spans="1:14" ht="30" customHeight="1" x14ac:dyDescent="0.25">
      <c r="A34" s="16" t="s">
        <v>306</v>
      </c>
      <c r="B34" s="16" t="s">
        <v>313</v>
      </c>
      <c r="C34" s="77" t="str">
        <f>VLOOKUP(B34,IF(A34="COMPOSICAO",S!$A:$D,I!$A:$D),2,FALSE)</f>
        <v>COLAR DE TOMADA EM PVC COM TRAVAS E SAÍDA ROSCÁVEL DE =   60MM X  1/2"</v>
      </c>
      <c r="D34" s="77"/>
      <c r="E34" s="77"/>
      <c r="F34" s="77"/>
      <c r="G34" s="16" t="str">
        <f>VLOOKUP(B34,IF(A34="COMPOSICAO",S!$A:$D,I!$A:$D),3,FALSE)</f>
        <v>UN</v>
      </c>
      <c r="H34" s="22">
        <f>1</f>
        <v>1</v>
      </c>
      <c r="I34" s="17">
        <f>IF(A34="COMPOSICAO",VLOOKUP("TOTAL - "&amp;B34,COMPOSICAO_AUX_1!$A:$J,10,FALSE),VLOOKUP(B34,I!$A:$D,4,FALSE))</f>
        <v>11.63</v>
      </c>
      <c r="J34" s="80">
        <f t="shared" si="1"/>
        <v>11.63</v>
      </c>
      <c r="K34" s="81"/>
      <c r="L34" s="3"/>
      <c r="M34" s="3"/>
      <c r="N34" s="3"/>
    </row>
    <row r="35" spans="1:14" ht="30" customHeight="1" x14ac:dyDescent="0.25">
      <c r="A35" s="16" t="s">
        <v>306</v>
      </c>
      <c r="B35" s="16" t="s">
        <v>314</v>
      </c>
      <c r="C35" s="77" t="str">
        <f>VLOOKUP(B35,IF(A35="COMPOSICAO",S!$A:$D,I!$A:$D),2,FALSE)</f>
        <v>LACRE ANTI-FRAUDE PARA HIDRÔMETRO EM POLIPROPILENO</v>
      </c>
      <c r="D35" s="77"/>
      <c r="E35" s="77"/>
      <c r="F35" s="77"/>
      <c r="G35" s="16" t="str">
        <f>VLOOKUP(B35,IF(A35="COMPOSICAO",S!$A:$D,I!$A:$D),3,FALSE)</f>
        <v>UN</v>
      </c>
      <c r="H35" s="22">
        <f>1</f>
        <v>1</v>
      </c>
      <c r="I35" s="17">
        <f>IF(A35="COMPOSICAO",VLOOKUP("TOTAL - "&amp;B35,COMPOSICAO_AUX_1!$A:$J,10,FALSE),VLOOKUP(B35,I!$A:$D,4,FALSE))</f>
        <v>0.82</v>
      </c>
      <c r="J35" s="80">
        <f t="shared" si="1"/>
        <v>0.82</v>
      </c>
      <c r="K35" s="81"/>
      <c r="L35" s="3"/>
      <c r="M35" s="3"/>
      <c r="N35" s="3"/>
    </row>
    <row r="36" spans="1:14" ht="15" customHeight="1" x14ac:dyDescent="0.25">
      <c r="A36" s="16" t="s">
        <v>302</v>
      </c>
      <c r="B36" s="20">
        <v>88267</v>
      </c>
      <c r="C36" s="77" t="str">
        <f>VLOOKUP(B36,IF(A36="COMPOSICAO",S!$A:$D,I!$A:$D),2,FALSE)</f>
        <v>ENCANADOR OU BOMBEIRO HIDRÁULICO COM ENCARGOS COMPLEMENTARES</v>
      </c>
      <c r="D36" s="77"/>
      <c r="E36" s="77"/>
      <c r="F36" s="77"/>
      <c r="G36" s="16" t="str">
        <f>VLOOKUP(B36,IF(A36="COMPOSICAO",S!$A:$D,I!$A:$D),3,FALSE)</f>
        <v>H</v>
      </c>
      <c r="H36" s="22">
        <f>1</f>
        <v>1</v>
      </c>
      <c r="I36" s="17">
        <f>IF(A36="COMPOSICAO",VLOOKUP("TOTAL - "&amp;B36,COMPOSICAO_AUX_1!$A:$J,10,FALSE),VLOOKUP(B36,I!$A:$D,4,FALSE))</f>
        <v>19.37</v>
      </c>
      <c r="J36" s="80">
        <f t="shared" si="1"/>
        <v>19.37</v>
      </c>
      <c r="K36" s="81"/>
      <c r="L36" s="3"/>
      <c r="M36" s="3"/>
      <c r="N36" s="3"/>
    </row>
    <row r="37" spans="1:14" ht="30" customHeight="1" x14ac:dyDescent="0.25">
      <c r="A37" s="16" t="s">
        <v>306</v>
      </c>
      <c r="B37" s="20">
        <v>4895</v>
      </c>
      <c r="C37" s="77" t="str">
        <f>VLOOKUP(B37,IF(A37="COMPOSICAO",S!$A:$D,I!$A:$D),2,FALSE)</f>
        <v>PLUG PVC ROSCAVEL,  1/2",  AGUA FRIA PREDIAL (NBR 5648)</v>
      </c>
      <c r="D37" s="77"/>
      <c r="E37" s="77"/>
      <c r="F37" s="77"/>
      <c r="G37" s="16" t="str">
        <f>VLOOKUP(B37,IF(A37="COMPOSICAO",S!$A:$D,I!$A:$D),3,FALSE)</f>
        <v>UN</v>
      </c>
      <c r="H37" s="22">
        <f>1</f>
        <v>1</v>
      </c>
      <c r="I37" s="17">
        <f>IF(A37="COMPOSICAO",VLOOKUP("TOTAL - "&amp;B37,COMPOSICAO_AUX_1!$A:$J,10,FALSE),VLOOKUP(B37,I!$A:$D,4,FALSE))</f>
        <v>0.6</v>
      </c>
      <c r="J37" s="80">
        <f t="shared" si="1"/>
        <v>0.6</v>
      </c>
      <c r="K37" s="81"/>
      <c r="L37" s="3"/>
      <c r="M37" s="3"/>
      <c r="N37" s="3"/>
    </row>
    <row r="38" spans="1:14" ht="30" customHeight="1" x14ac:dyDescent="0.25">
      <c r="A38" s="16" t="s">
        <v>306</v>
      </c>
      <c r="B38" s="20">
        <v>6036</v>
      </c>
      <c r="C38" s="77" t="str">
        <f>VLOOKUP(B38,IF(A38="COMPOSICAO",S!$A:$D,I!$A:$D),2,FALSE)</f>
        <v>REGISTRO DE ESFERA PVC, COM BORBOLETA, COM ROSCA EXTERNA, DE 1/2"</v>
      </c>
      <c r="D38" s="77"/>
      <c r="E38" s="77"/>
      <c r="F38" s="77"/>
      <c r="G38" s="16" t="str">
        <f>VLOOKUP(B38,IF(A38="COMPOSICAO",S!$A:$D,I!$A:$D),3,FALSE)</f>
        <v>UN</v>
      </c>
      <c r="H38" s="22">
        <f>1</f>
        <v>1</v>
      </c>
      <c r="I38" s="17">
        <f>IF(A38="COMPOSICAO",VLOOKUP("TOTAL - "&amp;B38,COMPOSICAO_AUX_1!$A:$J,10,FALSE),VLOOKUP(B38,I!$A:$D,4,FALSE))</f>
        <v>14.99</v>
      </c>
      <c r="J38" s="80">
        <f t="shared" si="1"/>
        <v>14.99</v>
      </c>
      <c r="K38" s="81"/>
      <c r="L38" s="3"/>
      <c r="M38" s="3"/>
      <c r="N38" s="3"/>
    </row>
    <row r="39" spans="1:14" ht="15" customHeight="1" x14ac:dyDescent="0.25">
      <c r="A39" s="16" t="s">
        <v>302</v>
      </c>
      <c r="B39" s="20">
        <v>88316</v>
      </c>
      <c r="C39" s="77" t="str">
        <f>VLOOKUP(B39,IF(A39="COMPOSICAO",S!$A:$D,I!$A:$D),2,FALSE)</f>
        <v>SERVENTE COM ENCARGOS COMPLEMENTARES</v>
      </c>
      <c r="D39" s="77"/>
      <c r="E39" s="77"/>
      <c r="F39" s="77"/>
      <c r="G39" s="16" t="str">
        <f>VLOOKUP(B39,IF(A39="COMPOSICAO",S!$A:$D,I!$A:$D),3,FALSE)</f>
        <v>H</v>
      </c>
      <c r="H39" s="22">
        <f>1</f>
        <v>1</v>
      </c>
      <c r="I39" s="17">
        <f>IF(A39="COMPOSICAO",VLOOKUP("TOTAL - "&amp;B39,COMPOSICAO_AUX_1!$A:$J,10,FALSE),VLOOKUP(B39,I!$A:$D,4,FALSE))</f>
        <v>15.35</v>
      </c>
      <c r="J39" s="80">
        <f t="shared" si="1"/>
        <v>15.35</v>
      </c>
      <c r="K39" s="81"/>
      <c r="L39" s="3"/>
      <c r="M39" s="3"/>
      <c r="N39" s="3"/>
    </row>
    <row r="40" spans="1:14" ht="30" customHeight="1" x14ac:dyDescent="0.25">
      <c r="A40" s="16" t="s">
        <v>306</v>
      </c>
      <c r="B40" s="20">
        <v>7098</v>
      </c>
      <c r="C40" s="77" t="str">
        <f>VLOOKUP(B40,IF(A40="COMPOSICAO",S!$A:$D,I!$A:$D),2,FALSE)</f>
        <v>TE PVC, ROSCAVEL, 90 GRAUS, 1/2",  AGUA FRIA PREDIAL</v>
      </c>
      <c r="D40" s="77"/>
      <c r="E40" s="77"/>
      <c r="F40" s="77"/>
      <c r="G40" s="16" t="str">
        <f>VLOOKUP(B40,IF(A40="COMPOSICAO",S!$A:$D,I!$A:$D),3,FALSE)</f>
        <v>UN</v>
      </c>
      <c r="H40" s="22">
        <f>1</f>
        <v>1</v>
      </c>
      <c r="I40" s="17">
        <f>IF(A40="COMPOSICAO",VLOOKUP("TOTAL - "&amp;B40,COMPOSICAO_AUX_1!$A:$J,10,FALSE),VLOOKUP(B40,I!$A:$D,4,FALSE))</f>
        <v>3.4</v>
      </c>
      <c r="J40" s="80">
        <f t="shared" si="1"/>
        <v>3.4</v>
      </c>
      <c r="K40" s="81"/>
      <c r="L40" s="3"/>
      <c r="M40" s="3"/>
      <c r="N40" s="3"/>
    </row>
    <row r="41" spans="1:14" ht="45" customHeight="1" x14ac:dyDescent="0.25">
      <c r="A41" s="16" t="s">
        <v>306</v>
      </c>
      <c r="B41" s="20">
        <v>9813</v>
      </c>
      <c r="C41" s="77" t="str">
        <f>VLOOKUP(B41,IF(A41="COMPOSICAO",S!$A:$D,I!$A:$D),2,FALSE)</f>
        <v>TUBO DE POLIETILENO DE ALTA DENSIDADE (PEAD), PE-80, DE = 20 MM X 2,3 MM DE PAREDE, PARA LIGACAO DE AGUA PREDIAL (NBR 15561)</v>
      </c>
      <c r="D41" s="77"/>
      <c r="E41" s="77"/>
      <c r="F41" s="77"/>
      <c r="G41" s="16" t="str">
        <f>VLOOKUP(B41,IF(A41="COMPOSICAO",S!$A:$D,I!$A:$D),3,FALSE)</f>
        <v>M</v>
      </c>
      <c r="H41" s="22">
        <f>6</f>
        <v>6</v>
      </c>
      <c r="I41" s="17">
        <f>IF(A41="COMPOSICAO",VLOOKUP("TOTAL - "&amp;B41,COMPOSICAO_AUX_1!$A:$J,10,FALSE),VLOOKUP(B41,I!$A:$D,4,FALSE))</f>
        <v>5.5</v>
      </c>
      <c r="J41" s="80">
        <f t="shared" si="1"/>
        <v>33</v>
      </c>
      <c r="K41" s="81"/>
      <c r="L41" s="3"/>
      <c r="M41" s="3"/>
      <c r="N41" s="3"/>
    </row>
    <row r="42" spans="1:14" ht="15" customHeight="1" x14ac:dyDescent="0.25">
      <c r="A42" s="16" t="s">
        <v>306</v>
      </c>
      <c r="B42" s="20">
        <v>9856</v>
      </c>
      <c r="C42" s="77" t="str">
        <f>VLOOKUP(B42,IF(A42="COMPOSICAO",S!$A:$D,I!$A:$D),2,FALSE)</f>
        <v>TUBO PVC, ROSCAVEL, 1/2", AGUA FRIA PREDIAL</v>
      </c>
      <c r="D42" s="77"/>
      <c r="E42" s="77"/>
      <c r="F42" s="77"/>
      <c r="G42" s="16" t="str">
        <f>VLOOKUP(B42,IF(A42="COMPOSICAO",S!$A:$D,I!$A:$D),3,FALSE)</f>
        <v>M</v>
      </c>
      <c r="H42" s="22">
        <f>1</f>
        <v>1</v>
      </c>
      <c r="I42" s="17">
        <f>IF(A42="COMPOSICAO",VLOOKUP("TOTAL - "&amp;B42,COMPOSICAO_AUX_1!$A:$J,10,FALSE),VLOOKUP(B42,I!$A:$D,4,FALSE))</f>
        <v>7.8</v>
      </c>
      <c r="J42" s="80">
        <f t="shared" si="1"/>
        <v>7.8</v>
      </c>
      <c r="K42" s="81"/>
      <c r="L42" s="3"/>
      <c r="M42" s="3"/>
      <c r="N42" s="3"/>
    </row>
    <row r="43" spans="1:14" ht="30" customHeight="1" x14ac:dyDescent="0.25">
      <c r="A43" s="16" t="s">
        <v>306</v>
      </c>
      <c r="B43" s="20">
        <v>12773</v>
      </c>
      <c r="C43" s="77" t="str">
        <f>VLOOKUP(B43,IF(A43="COMPOSICAO",S!$A:$D,I!$A:$D),2,FALSE)</f>
        <v>HIDROMETRO UNIJATO, VAZAO MAXIMA DE 3,0 M3/H, DE 1/2"</v>
      </c>
      <c r="D43" s="77"/>
      <c r="E43" s="77"/>
      <c r="F43" s="77"/>
      <c r="G43" s="16" t="str">
        <f>VLOOKUP(B43,IF(A43="COMPOSICAO",S!$A:$D,I!$A:$D),3,FALSE)</f>
        <v>UN</v>
      </c>
      <c r="H43" s="22">
        <f>1</f>
        <v>1</v>
      </c>
      <c r="I43" s="17">
        <f>IF(A43="COMPOSICAO",VLOOKUP("TOTAL - "&amp;B43,COMPOSICAO_AUX_1!$A:$J,10,FALSE),VLOOKUP(B43,I!$A:$D,4,FALSE))</f>
        <v>99.3</v>
      </c>
      <c r="J43" s="80">
        <f t="shared" si="1"/>
        <v>99.3</v>
      </c>
      <c r="K43" s="81"/>
      <c r="L43" s="3"/>
      <c r="M43" s="3"/>
      <c r="N43" s="3"/>
    </row>
    <row r="44" spans="1:14" ht="15" customHeight="1" x14ac:dyDescent="0.25">
      <c r="A44" s="16" t="s">
        <v>302</v>
      </c>
      <c r="B44" s="16" t="s">
        <v>315</v>
      </c>
      <c r="C44" s="77" t="str">
        <f>VLOOKUP(B44,IF(A44="COMPOSICAO",S!$A:$D,I!$A:$D),2,FALSE)</f>
        <v>COLETA E CARGA MANUAIS DE ENTULHO</v>
      </c>
      <c r="D44" s="77"/>
      <c r="E44" s="77"/>
      <c r="F44" s="77"/>
      <c r="G44" s="16" t="str">
        <f>VLOOKUP(B44,IF(A44="COMPOSICAO",S!$A:$D,I!$A:$D),3,FALSE)</f>
        <v>M3</v>
      </c>
      <c r="H44" s="22">
        <f>0.021</f>
        <v>2.1000000000000001E-2</v>
      </c>
      <c r="I44" s="17">
        <f>IF(A44="COMPOSICAO",VLOOKUP("TOTAL - "&amp;B44,COMPOSICAO_AUX_1!$A:$J,10,FALSE),VLOOKUP(B44,I!$A:$D,4,FALSE))</f>
        <v>13.51</v>
      </c>
      <c r="J44" s="80">
        <f t="shared" si="1"/>
        <v>0.28000000000000003</v>
      </c>
      <c r="K44" s="81"/>
      <c r="L44" s="3"/>
      <c r="M44" s="3"/>
      <c r="N44" s="3"/>
    </row>
    <row r="45" spans="1:14" ht="30" customHeight="1" x14ac:dyDescent="0.25">
      <c r="A45" s="16" t="s">
        <v>302</v>
      </c>
      <c r="B45" s="16" t="s">
        <v>316</v>
      </c>
      <c r="C45" s="77" t="str">
        <f>VLOOKUP(B45,IF(A45="COMPOSICAO",S!$A:$D,I!$A:$D),2,FALSE)</f>
        <v>REATERRO MANUAL DE VALAS COM ESPALHAMENTO S/ COMPACTAÇÃO</v>
      </c>
      <c r="D45" s="77"/>
      <c r="E45" s="77"/>
      <c r="F45" s="77"/>
      <c r="G45" s="16" t="str">
        <f>VLOOKUP(B45,IF(A45="COMPOSICAO",S!$A:$D,I!$A:$D),3,FALSE)</f>
        <v>M3</v>
      </c>
      <c r="H45" s="22">
        <f>1.326</f>
        <v>1.3260000000000001</v>
      </c>
      <c r="I45" s="17">
        <f>IF(A45="COMPOSICAO",VLOOKUP("TOTAL - "&amp;B45,COMPOSICAO_AUX_1!$A:$J,10,FALSE),VLOOKUP(B45,I!$A:$D,4,FALSE))</f>
        <v>13.51</v>
      </c>
      <c r="J45" s="80">
        <f t="shared" si="1"/>
        <v>17.91</v>
      </c>
      <c r="K45" s="81"/>
      <c r="L45" s="3"/>
      <c r="M45" s="3"/>
      <c r="N45" s="3"/>
    </row>
    <row r="46" spans="1:14" ht="30" customHeight="1" x14ac:dyDescent="0.25">
      <c r="A46" s="16" t="s">
        <v>302</v>
      </c>
      <c r="B46" s="16" t="s">
        <v>317</v>
      </c>
      <c r="C46" s="77" t="str">
        <f>VLOOKUP(B46,IF(A46="COMPOSICAO",S!$A:$D,I!$A:$D),2,FALSE)</f>
        <v>ESCAVAÇÃO MANUAL DE VALA OU CAVA EM MATERIAL DE 1ª CATEGORIA, PROFUNDIDADE ATÉ 1,50M</v>
      </c>
      <c r="D46" s="77"/>
      <c r="E46" s="77"/>
      <c r="F46" s="77"/>
      <c r="G46" s="16" t="str">
        <f>VLOOKUP(B46,IF(A46="COMPOSICAO",S!$A:$D,I!$A:$D),3,FALSE)</f>
        <v>M3</v>
      </c>
      <c r="H46" s="22">
        <f>1.347</f>
        <v>1.347</v>
      </c>
      <c r="I46" s="17">
        <f>IF(A46="COMPOSICAO",VLOOKUP("TOTAL - "&amp;B46,COMPOSICAO_AUX_1!$A:$J,10,FALSE),VLOOKUP(B46,I!$A:$D,4,FALSE))</f>
        <v>40.53</v>
      </c>
      <c r="J46" s="80">
        <f t="shared" si="1"/>
        <v>54.59</v>
      </c>
      <c r="K46" s="81"/>
      <c r="L46" s="3"/>
      <c r="M46" s="3"/>
      <c r="N46" s="3"/>
    </row>
    <row r="47" spans="1:14" ht="30" customHeight="1" x14ac:dyDescent="0.25">
      <c r="A47" s="16" t="s">
        <v>302</v>
      </c>
      <c r="B47" s="16" t="s">
        <v>318</v>
      </c>
      <c r="C47" s="77" t="str">
        <f>VLOOKUP(B47,IF(A47="COMPOSICAO",S!$A:$D,I!$A:$D),2,FALSE)</f>
        <v>MURETA PRÉ-MOLDADA PARA LIGAÇÕES DOMICILIARES DE ÁGUA</v>
      </c>
      <c r="D47" s="77"/>
      <c r="E47" s="77"/>
      <c r="F47" s="77"/>
      <c r="G47" s="16" t="str">
        <f>VLOOKUP(B47,IF(A47="COMPOSICAO",S!$A:$D,I!$A:$D),3,FALSE)</f>
        <v>UN</v>
      </c>
      <c r="H47" s="22">
        <f>1</f>
        <v>1</v>
      </c>
      <c r="I47" s="17">
        <f>IF(A47="COMPOSICAO",VLOOKUP("TOTAL - "&amp;B47,COMPOSICAO_AUX_1!$A:$J,10,FALSE),VLOOKUP(B47,I!$A:$D,4,FALSE))</f>
        <v>235.88999999999993</v>
      </c>
      <c r="J47" s="80">
        <f t="shared" si="1"/>
        <v>235.89</v>
      </c>
      <c r="K47" s="81"/>
      <c r="L47" s="3"/>
      <c r="M47" s="3"/>
      <c r="N47" s="3"/>
    </row>
    <row r="48" spans="1:14" ht="15" customHeight="1" x14ac:dyDescent="0.25">
      <c r="A48" s="23" t="s">
        <v>303</v>
      </c>
      <c r="B48" s="24"/>
      <c r="C48" s="24"/>
      <c r="D48" s="24"/>
      <c r="E48" s="24"/>
      <c r="F48" s="24"/>
      <c r="G48" s="25"/>
      <c r="H48" s="26"/>
      <c r="I48" s="27"/>
      <c r="J48" s="80">
        <f>SUM(J29:K47)</f>
        <v>547.08000000000004</v>
      </c>
      <c r="K48" s="81"/>
    </row>
    <row r="49" spans="1:14" ht="15" customHeight="1" x14ac:dyDescent="0.25">
      <c r="A49" s="23" t="str">
        <f>"TAXA DE BDI ("&amp;BDI&amp;" %)"</f>
        <v>TAXA DE BDI (20,8 %)</v>
      </c>
      <c r="B49" s="24"/>
      <c r="C49" s="24"/>
      <c r="D49" s="24"/>
      <c r="E49" s="24"/>
      <c r="F49" s="24"/>
      <c r="G49" s="25"/>
      <c r="H49" s="26"/>
      <c r="I49" s="27"/>
      <c r="J49" s="80">
        <f>ROUND(J48*(BDI/100),2)</f>
        <v>113.79</v>
      </c>
      <c r="K49" s="81"/>
    </row>
    <row r="50" spans="1:14" ht="15" customHeight="1" x14ac:dyDescent="0.25">
      <c r="A50" s="23" t="s">
        <v>321</v>
      </c>
      <c r="B50" s="24"/>
      <c r="C50" s="24"/>
      <c r="D50" s="24"/>
      <c r="E50" s="24"/>
      <c r="F50" s="24"/>
      <c r="G50" s="25"/>
      <c r="H50" s="26"/>
      <c r="I50" s="27"/>
      <c r="J50" s="80">
        <f>SUM(J48:K49)</f>
        <v>660.87</v>
      </c>
      <c r="K50" s="81"/>
    </row>
    <row r="51" spans="1:14" ht="15" customHeight="1" x14ac:dyDescent="0.25">
      <c r="A51" s="3"/>
      <c r="B51" s="3"/>
      <c r="C51" s="3"/>
      <c r="D51" s="3"/>
      <c r="E51" s="3"/>
      <c r="F51" s="3"/>
      <c r="G51" s="3"/>
      <c r="H51" s="3"/>
      <c r="I51" s="3"/>
      <c r="J51" s="3"/>
      <c r="K51" s="3"/>
    </row>
    <row r="52" spans="1:14" ht="15" customHeight="1" x14ac:dyDescent="0.25">
      <c r="A52" s="10" t="s">
        <v>295</v>
      </c>
      <c r="B52" s="10" t="s">
        <v>31</v>
      </c>
      <c r="C52" s="82" t="s">
        <v>7</v>
      </c>
      <c r="D52" s="83"/>
      <c r="E52" s="83"/>
      <c r="F52" s="83"/>
      <c r="G52" s="6" t="s">
        <v>32</v>
      </c>
      <c r="H52" s="6" t="s">
        <v>296</v>
      </c>
      <c r="I52" s="6" t="s">
        <v>297</v>
      </c>
      <c r="J52" s="57" t="s">
        <v>9</v>
      </c>
      <c r="K52" s="58"/>
    </row>
    <row r="53" spans="1:14" ht="30" customHeight="1" x14ac:dyDescent="0.25">
      <c r="A53" s="6" t="s">
        <v>11</v>
      </c>
      <c r="B53" s="6" t="s">
        <v>322</v>
      </c>
      <c r="C53" s="91" t="str">
        <f>VLOOKUP(B53,S!$A:$D,2,FALSE)</f>
        <v>ENTRADA DE ENERGIA ELÉTRICA MONOFÁSICA DEMANDA ENTRE 0 E 3,8 KW - REV 01</v>
      </c>
      <c r="D53" s="91"/>
      <c r="E53" s="91"/>
      <c r="F53" s="92"/>
      <c r="G53" s="6" t="str">
        <f>VLOOKUP(B53,S!$A:$D,3,FALSE)</f>
        <v>UN</v>
      </c>
      <c r="H53" s="21"/>
      <c r="I53" s="21">
        <f>J67</f>
        <v>1744.1399999999999</v>
      </c>
      <c r="J53" s="76"/>
      <c r="K53" s="72"/>
      <c r="L53" s="21">
        <f>VLOOKUP(B53,S!$A:$D,4,FALSE)</f>
        <v>1740.69</v>
      </c>
      <c r="M53" s="6" t="str">
        <f>IF(ROUND((L53-I53),2)=0,"OK, confere com a tabela.",IF(ROUND((L53-I53),2)&lt;0,"ACIMA ("&amp;TEXT(ROUND(I53*100/L53,4),"0,0000")&amp;" %) da tabela.","ABAIXO ("&amp;TEXT(ROUND(I53*100/L53,4),"0,0000")&amp;" %) da tabela."))</f>
        <v>ACIMA (100,1982 %) da tabela.</v>
      </c>
    </row>
    <row r="54" spans="1:14" ht="30" customHeight="1" x14ac:dyDescent="0.25">
      <c r="A54" s="16" t="s">
        <v>302</v>
      </c>
      <c r="B54" s="16" t="s">
        <v>323</v>
      </c>
      <c r="C54" s="77" t="str">
        <f>VLOOKUP(B54,IF(A54="COMPOSICAO",S!$A:$D,I!$A:$D),2,FALSE)</f>
        <v>QUADRO DE MEDIÇÃO MONOFÁSICA (ATÉ 6 KVA) COM CAIXA EM NORIL</v>
      </c>
      <c r="D54" s="77"/>
      <c r="E54" s="77"/>
      <c r="F54" s="77"/>
      <c r="G54" s="16" t="str">
        <f>VLOOKUP(B54,IF(A54="COMPOSICAO",S!$A:$D,I!$A:$D),3,FALSE)</f>
        <v>UN</v>
      </c>
      <c r="H54" s="22">
        <f>1</f>
        <v>1</v>
      </c>
      <c r="I54" s="17">
        <f>IF(A54="COMPOSICAO",VLOOKUP("TOTAL - "&amp;B54,COMPOSICAO_AUX_1!$A:$J,10,FALSE),VLOOKUP(B54,I!$A:$D,4,FALSE))</f>
        <v>249.31000000000003</v>
      </c>
      <c r="J54" s="80">
        <f t="shared" ref="J54:J66" si="2">TRUNC(H54*I54,2)</f>
        <v>249.31</v>
      </c>
      <c r="K54" s="81"/>
      <c r="L54" s="3"/>
      <c r="M54" s="3"/>
      <c r="N54" s="3"/>
    </row>
    <row r="55" spans="1:14" ht="30" customHeight="1" x14ac:dyDescent="0.25">
      <c r="A55" s="16" t="s">
        <v>302</v>
      </c>
      <c r="B55" s="16" t="s">
        <v>324</v>
      </c>
      <c r="C55" s="77" t="str">
        <f>VLOOKUP(B55,IF(A55="COMPOSICAO",S!$A:$D,I!$A:$D),2,FALSE)</f>
        <v>ELETRODUTO DE PVC RÍGIDO ROSCÁVEL, DIÂM = 25MM (3/4")</v>
      </c>
      <c r="D55" s="77"/>
      <c r="E55" s="77"/>
      <c r="F55" s="77"/>
      <c r="G55" s="16" t="str">
        <f>VLOOKUP(B55,IF(A55="COMPOSICAO",S!$A:$D,I!$A:$D),3,FALSE)</f>
        <v>M</v>
      </c>
      <c r="H55" s="22">
        <f>7.5</f>
        <v>7.5</v>
      </c>
      <c r="I55" s="17">
        <f>IF(A55="COMPOSICAO",VLOOKUP("TOTAL - "&amp;B55,COMPOSICAO_AUX_1!$A:$J,10,FALSE),VLOOKUP(B55,I!$A:$D,4,FALSE))</f>
        <v>9.8200000000000021</v>
      </c>
      <c r="J55" s="80">
        <f t="shared" si="2"/>
        <v>73.650000000000006</v>
      </c>
      <c r="K55" s="81"/>
      <c r="L55" s="3"/>
      <c r="M55" s="3"/>
      <c r="N55" s="3"/>
    </row>
    <row r="56" spans="1:14" ht="30" customHeight="1" x14ac:dyDescent="0.25">
      <c r="A56" s="16" t="s">
        <v>302</v>
      </c>
      <c r="B56" s="16" t="s">
        <v>325</v>
      </c>
      <c r="C56" s="77" t="str">
        <f>VLOOKUP(B56,IF(A56="COMPOSICAO",S!$A:$D,I!$A:$D),2,FALSE)</f>
        <v>CURVA PARA ELETRODUTO DE PVC RÍGIDO ROSCÁVEL, DIÂM = 25MM (3/4")</v>
      </c>
      <c r="D56" s="77"/>
      <c r="E56" s="77"/>
      <c r="F56" s="77"/>
      <c r="G56" s="16" t="str">
        <f>VLOOKUP(B56,IF(A56="COMPOSICAO",S!$A:$D,I!$A:$D),3,FALSE)</f>
        <v>UN</v>
      </c>
      <c r="H56" s="22">
        <f>2</f>
        <v>2</v>
      </c>
      <c r="I56" s="17">
        <f>IF(A56="COMPOSICAO",VLOOKUP("TOTAL - "&amp;B56,COMPOSICAO_AUX_1!$A:$J,10,FALSE),VLOOKUP(B56,I!$A:$D,4,FALSE))</f>
        <v>5.67</v>
      </c>
      <c r="J56" s="80">
        <f t="shared" si="2"/>
        <v>11.34</v>
      </c>
      <c r="K56" s="81"/>
      <c r="L56" s="3"/>
      <c r="M56" s="3"/>
      <c r="N56" s="3"/>
    </row>
    <row r="57" spans="1:14" ht="30" customHeight="1" x14ac:dyDescent="0.25">
      <c r="A57" s="16" t="s">
        <v>302</v>
      </c>
      <c r="B57" s="16" t="s">
        <v>326</v>
      </c>
      <c r="C57" s="77" t="str">
        <f>VLOOKUP(B57,IF(A57="COMPOSICAO",S!$A:$D,I!$A:$D),2,FALSE)</f>
        <v>LUVA PARA ELETRODUTO DE PVC RÍGIDO ROSCÁVEL, DIÂM = 25MM (3/4")</v>
      </c>
      <c r="D57" s="77"/>
      <c r="E57" s="77"/>
      <c r="F57" s="77"/>
      <c r="G57" s="16" t="str">
        <f>VLOOKUP(B57,IF(A57="COMPOSICAO",S!$A:$D,I!$A:$D),3,FALSE)</f>
        <v>UN</v>
      </c>
      <c r="H57" s="22">
        <f>4</f>
        <v>4</v>
      </c>
      <c r="I57" s="17">
        <f>IF(A57="COMPOSICAO",VLOOKUP("TOTAL - "&amp;B57,COMPOSICAO_AUX_1!$A:$J,10,FALSE),VLOOKUP(B57,I!$A:$D,4,FALSE))</f>
        <v>2.02</v>
      </c>
      <c r="J57" s="80">
        <f t="shared" si="2"/>
        <v>8.08</v>
      </c>
      <c r="K57" s="81"/>
      <c r="L57" s="3"/>
      <c r="M57" s="3"/>
      <c r="N57" s="3"/>
    </row>
    <row r="58" spans="1:14" ht="30" customHeight="1" x14ac:dyDescent="0.25">
      <c r="A58" s="16" t="s">
        <v>302</v>
      </c>
      <c r="B58" s="16" t="s">
        <v>327</v>
      </c>
      <c r="C58" s="77" t="str">
        <f>VLOOKUP(B58,IF(A58="COMPOSICAO",S!$A:$D,I!$A:$D),2,FALSE)</f>
        <v>CONECTOR PARA HASTE DE ATERRAMENTO 5/8" - FORNECIMENTO</v>
      </c>
      <c r="D58" s="77"/>
      <c r="E58" s="77"/>
      <c r="F58" s="77"/>
      <c r="G58" s="16" t="str">
        <f>VLOOKUP(B58,IF(A58="COMPOSICAO",S!$A:$D,I!$A:$D),3,FALSE)</f>
        <v>UN</v>
      </c>
      <c r="H58" s="22">
        <f>1</f>
        <v>1</v>
      </c>
      <c r="I58" s="17">
        <f>IF(A58="COMPOSICAO",VLOOKUP("TOTAL - "&amp;B58,COMPOSICAO_AUX_1!$A:$J,10,FALSE),VLOOKUP(B58,I!$A:$D,4,FALSE))</f>
        <v>3.7</v>
      </c>
      <c r="J58" s="80">
        <f t="shared" si="2"/>
        <v>3.7</v>
      </c>
      <c r="K58" s="81"/>
      <c r="L58" s="3"/>
      <c r="M58" s="3"/>
      <c r="N58" s="3"/>
    </row>
    <row r="59" spans="1:14" ht="15" customHeight="1" x14ac:dyDescent="0.25">
      <c r="A59" s="16" t="s">
        <v>302</v>
      </c>
      <c r="B59" s="16" t="s">
        <v>328</v>
      </c>
      <c r="C59" s="77" t="str">
        <f>VLOOKUP(B59,IF(A59="COMPOSICAO",S!$A:$D,I!$A:$D),2,FALSE)</f>
        <v>FORNECIMENTO DE ISOLADOR ROLDANA DE PORCELANA</v>
      </c>
      <c r="D59" s="77"/>
      <c r="E59" s="77"/>
      <c r="F59" s="77"/>
      <c r="G59" s="16" t="str">
        <f>VLOOKUP(B59,IF(A59="COMPOSICAO",S!$A:$D,I!$A:$D),3,FALSE)</f>
        <v>UN</v>
      </c>
      <c r="H59" s="22">
        <f>1</f>
        <v>1</v>
      </c>
      <c r="I59" s="17">
        <f>IF(A59="COMPOSICAO",VLOOKUP("TOTAL - "&amp;B59,COMPOSICAO_AUX_1!$A:$J,10,FALSE),VLOOKUP(B59,I!$A:$D,4,FALSE))</f>
        <v>3.81</v>
      </c>
      <c r="J59" s="80">
        <f t="shared" si="2"/>
        <v>3.81</v>
      </c>
      <c r="K59" s="81"/>
      <c r="L59" s="3"/>
      <c r="M59" s="3"/>
      <c r="N59" s="3"/>
    </row>
    <row r="60" spans="1:14" ht="30" customHeight="1" x14ac:dyDescent="0.25">
      <c r="A60" s="16" t="s">
        <v>302</v>
      </c>
      <c r="B60" s="16" t="s">
        <v>329</v>
      </c>
      <c r="C60" s="77" t="str">
        <f>VLOOKUP(B60,IF(A60="COMPOSICAO",S!$A:$D,I!$A:$D),2,FALSE)</f>
        <v>CABO DE COBRE ISOLADO EPR OU XLPE 6,0MM²,  0,6/1KV / 90º C</v>
      </c>
      <c r="D60" s="77"/>
      <c r="E60" s="77"/>
      <c r="F60" s="77"/>
      <c r="G60" s="16" t="str">
        <f>VLOOKUP(B60,IF(A60="COMPOSICAO",S!$A:$D,I!$A:$D),3,FALSE)</f>
        <v>M</v>
      </c>
      <c r="H60" s="22">
        <f>15</f>
        <v>15</v>
      </c>
      <c r="I60" s="17">
        <f>IF(A60="COMPOSICAO",VLOOKUP("TOTAL - "&amp;B60,COMPOSICAO_AUX_1!$A:$J,10,FALSE),VLOOKUP(B60,I!$A:$D,4,FALSE))</f>
        <v>10.87</v>
      </c>
      <c r="J60" s="80">
        <f t="shared" si="2"/>
        <v>163.05000000000001</v>
      </c>
      <c r="K60" s="81"/>
      <c r="L60" s="3"/>
      <c r="M60" s="3"/>
      <c r="N60" s="3"/>
    </row>
    <row r="61" spans="1:14" ht="15" customHeight="1" x14ac:dyDescent="0.25">
      <c r="A61" s="16" t="s">
        <v>302</v>
      </c>
      <c r="B61" s="16" t="s">
        <v>330</v>
      </c>
      <c r="C61" s="77" t="str">
        <f>VLOOKUP(B61,IF(A61="COMPOSICAO",S!$A:$D,I!$A:$D),2,FALSE)</f>
        <v>CAIXA DE INSPEÇÃO  0,30 X 0,30 X 0,40M</v>
      </c>
      <c r="D61" s="77"/>
      <c r="E61" s="77"/>
      <c r="F61" s="77"/>
      <c r="G61" s="16" t="str">
        <f>VLOOKUP(B61,IF(A61="COMPOSICAO",S!$A:$D,I!$A:$D),3,FALSE)</f>
        <v>UN</v>
      </c>
      <c r="H61" s="22">
        <f>1</f>
        <v>1</v>
      </c>
      <c r="I61" s="17">
        <f>IF(A61="COMPOSICAO",VLOOKUP("TOTAL - "&amp;B61,COMPOSICAO_AUX_1!$A:$J,10,FALSE),VLOOKUP(B61,I!$A:$D,4,FALSE))</f>
        <v>122.65</v>
      </c>
      <c r="J61" s="80">
        <f t="shared" si="2"/>
        <v>122.65</v>
      </c>
      <c r="K61" s="81"/>
      <c r="L61" s="3"/>
      <c r="M61" s="3"/>
      <c r="N61" s="3"/>
    </row>
    <row r="62" spans="1:14" ht="30" customHeight="1" x14ac:dyDescent="0.25">
      <c r="A62" s="16" t="s">
        <v>302</v>
      </c>
      <c r="B62" s="16" t="s">
        <v>331</v>
      </c>
      <c r="C62" s="77" t="str">
        <f>VLOOKUP(B62,IF(A62="COMPOSICAO",S!$A:$D,I!$A:$D),2,FALSE)</f>
        <v>TERMINAL DE COMPRESSÃO PARA CABO DE   6 MM2 - FORNECIMENTO E INSTALAÇÃO</v>
      </c>
      <c r="D62" s="77"/>
      <c r="E62" s="77"/>
      <c r="F62" s="77"/>
      <c r="G62" s="16" t="str">
        <f>VLOOKUP(B62,IF(A62="COMPOSICAO",S!$A:$D,I!$A:$D),3,FALSE)</f>
        <v>UN</v>
      </c>
      <c r="H62" s="22">
        <f>3</f>
        <v>3</v>
      </c>
      <c r="I62" s="17">
        <f>IF(A62="COMPOSICAO",VLOOKUP("TOTAL - "&amp;B62,COMPOSICAO_AUX_1!$A:$J,10,FALSE),VLOOKUP(B62,I!$A:$D,4,FALSE))</f>
        <v>2.33</v>
      </c>
      <c r="J62" s="80">
        <f t="shared" si="2"/>
        <v>6.99</v>
      </c>
      <c r="K62" s="81"/>
      <c r="L62" s="3"/>
      <c r="M62" s="3"/>
      <c r="N62" s="3"/>
    </row>
    <row r="63" spans="1:14" ht="30" customHeight="1" x14ac:dyDescent="0.25">
      <c r="A63" s="16" t="s">
        <v>302</v>
      </c>
      <c r="B63" s="16" t="s">
        <v>332</v>
      </c>
      <c r="C63" s="77" t="str">
        <f>VLOOKUP(B63,IF(A63="COMPOSICAO",S!$A:$D,I!$A:$D),2,FALSE)</f>
        <v>POSTE AUXILIAR P/ENTRADA ENERGIA, MONOFASICO, FERRO GALVANIZADO D=3" E H=5,0M, COMPLETO</v>
      </c>
      <c r="D63" s="77"/>
      <c r="E63" s="77"/>
      <c r="F63" s="77"/>
      <c r="G63" s="16" t="str">
        <f>VLOOKUP(B63,IF(A63="COMPOSICAO",S!$A:$D,I!$A:$D),3,FALSE)</f>
        <v>UN</v>
      </c>
      <c r="H63" s="22">
        <f>1</f>
        <v>1</v>
      </c>
      <c r="I63" s="17">
        <f>IF(A63="COMPOSICAO",VLOOKUP("TOTAL - "&amp;B63,COMPOSICAO_AUX_1!$A:$J,10,FALSE),VLOOKUP(B63,I!$A:$D,4,FALSE))</f>
        <v>1025.48</v>
      </c>
      <c r="J63" s="80">
        <f t="shared" si="2"/>
        <v>1025.48</v>
      </c>
      <c r="K63" s="81"/>
      <c r="L63" s="3"/>
      <c r="M63" s="3"/>
      <c r="N63" s="3"/>
    </row>
    <row r="64" spans="1:14" ht="30" customHeight="1" x14ac:dyDescent="0.25">
      <c r="A64" s="16" t="s">
        <v>302</v>
      </c>
      <c r="B64" s="16" t="s">
        <v>333</v>
      </c>
      <c r="C64" s="77" t="str">
        <f>VLOOKUP(B64,IF(A64="COMPOSICAO",S!$A:$D,I!$A:$D),2,FALSE)</f>
        <v>HASTE COBREADA COPPERWELD P/ATERRAMENTO D=  5/8" X 2,40M</v>
      </c>
      <c r="D64" s="77"/>
      <c r="E64" s="77"/>
      <c r="F64" s="77"/>
      <c r="G64" s="16" t="str">
        <f>VLOOKUP(B64,IF(A64="COMPOSICAO",S!$A:$D,I!$A:$D),3,FALSE)</f>
        <v>UN</v>
      </c>
      <c r="H64" s="22">
        <f>1</f>
        <v>1</v>
      </c>
      <c r="I64" s="17">
        <f>IF(A64="COMPOSICAO",VLOOKUP("TOTAL - "&amp;B64,COMPOSICAO_AUX_1!$A:$J,10,FALSE),VLOOKUP(B64,I!$A:$D,4,FALSE))</f>
        <v>38.949999999999996</v>
      </c>
      <c r="J64" s="80">
        <f t="shared" si="2"/>
        <v>38.950000000000003</v>
      </c>
      <c r="K64" s="81"/>
      <c r="L64" s="3"/>
      <c r="M64" s="3"/>
      <c r="N64" s="3"/>
    </row>
    <row r="65" spans="1:14" ht="30" customHeight="1" x14ac:dyDescent="0.25">
      <c r="A65" s="16" t="s">
        <v>302</v>
      </c>
      <c r="B65" s="16" t="s">
        <v>334</v>
      </c>
      <c r="C65" s="77" t="str">
        <f>VLOOKUP(B65,IF(A65="COMPOSICAO",S!$A:$D,I!$A:$D),2,FALSE)</f>
        <v>DISJUNTOR TERMOMAGNETICO MONOPOLAR 32 A, PADRÃO DIN (EUROPEU - LINHA BRANCA)</v>
      </c>
      <c r="D65" s="77"/>
      <c r="E65" s="77"/>
      <c r="F65" s="77"/>
      <c r="G65" s="16" t="str">
        <f>VLOOKUP(B65,IF(A65="COMPOSICAO",S!$A:$D,I!$A:$D),3,FALSE)</f>
        <v>UN</v>
      </c>
      <c r="H65" s="22">
        <f>1</f>
        <v>1</v>
      </c>
      <c r="I65" s="17">
        <f>IF(A65="COMPOSICAO",VLOOKUP("TOTAL - "&amp;B65,COMPOSICAO_AUX_1!$A:$J,10,FALSE),VLOOKUP(B65,I!$A:$D,4,FALSE))</f>
        <v>17.049999999999997</v>
      </c>
      <c r="J65" s="80">
        <f t="shared" si="2"/>
        <v>17.05</v>
      </c>
      <c r="K65" s="81"/>
      <c r="L65" s="3"/>
      <c r="M65" s="3"/>
      <c r="N65" s="3"/>
    </row>
    <row r="66" spans="1:14" ht="30" customHeight="1" x14ac:dyDescent="0.25">
      <c r="A66" s="16" t="s">
        <v>302</v>
      </c>
      <c r="B66" s="16" t="s">
        <v>335</v>
      </c>
      <c r="C66" s="77" t="str">
        <f>VLOOKUP(B66,IF(A66="COMPOSICAO",S!$A:$D,I!$A:$D),2,FALSE)</f>
        <v>CABO DE COBRE NÚ 10 MM2 - FORNECIMENTO E ASSENTAMENTO (10,85M/KG)</v>
      </c>
      <c r="D66" s="77"/>
      <c r="E66" s="77"/>
      <c r="F66" s="77"/>
      <c r="G66" s="16" t="str">
        <f>VLOOKUP(B66,IF(A66="COMPOSICAO",S!$A:$D,I!$A:$D),3,FALSE)</f>
        <v>KG</v>
      </c>
      <c r="H66" s="22">
        <f>0.184</f>
        <v>0.184</v>
      </c>
      <c r="I66" s="17">
        <f>IF(A66="COMPOSICAO",VLOOKUP("TOTAL - "&amp;B66,COMPOSICAO_AUX_1!$A:$J,10,FALSE),VLOOKUP(B66,I!$A:$D,4,FALSE))</f>
        <v>109.17999999999999</v>
      </c>
      <c r="J66" s="80">
        <f t="shared" si="2"/>
        <v>20.079999999999998</v>
      </c>
      <c r="K66" s="81"/>
      <c r="L66" s="3"/>
      <c r="M66" s="3"/>
      <c r="N66" s="3"/>
    </row>
    <row r="67" spans="1:14" ht="15" customHeight="1" x14ac:dyDescent="0.25">
      <c r="A67" s="23" t="s">
        <v>303</v>
      </c>
      <c r="B67" s="24"/>
      <c r="C67" s="24"/>
      <c r="D67" s="24"/>
      <c r="E67" s="24"/>
      <c r="F67" s="24"/>
      <c r="G67" s="25"/>
      <c r="H67" s="26"/>
      <c r="I67" s="27"/>
      <c r="J67" s="80">
        <f>SUM(J53:K66)</f>
        <v>1744.1399999999999</v>
      </c>
      <c r="K67" s="81"/>
    </row>
    <row r="68" spans="1:14" ht="15" customHeight="1" x14ac:dyDescent="0.25">
      <c r="A68" s="23" t="str">
        <f>"TAXA DE BDI ("&amp;BDI&amp;" %)"</f>
        <v>TAXA DE BDI (20,8 %)</v>
      </c>
      <c r="B68" s="24"/>
      <c r="C68" s="24"/>
      <c r="D68" s="24"/>
      <c r="E68" s="24"/>
      <c r="F68" s="24"/>
      <c r="G68" s="25"/>
      <c r="H68" s="26"/>
      <c r="I68" s="27"/>
      <c r="J68" s="80">
        <f>ROUND(J67*(BDI/100),2)</f>
        <v>362.78</v>
      </c>
      <c r="K68" s="81"/>
    </row>
    <row r="69" spans="1:14" ht="15" customHeight="1" x14ac:dyDescent="0.25">
      <c r="A69" s="23" t="s">
        <v>336</v>
      </c>
      <c r="B69" s="24"/>
      <c r="C69" s="24"/>
      <c r="D69" s="24"/>
      <c r="E69" s="24"/>
      <c r="F69" s="24"/>
      <c r="G69" s="25"/>
      <c r="H69" s="26"/>
      <c r="I69" s="27"/>
      <c r="J69" s="80">
        <f>SUM(J67:K68)</f>
        <v>2106.92</v>
      </c>
      <c r="K69" s="81"/>
    </row>
    <row r="70" spans="1:14" ht="15" customHeight="1" x14ac:dyDescent="0.25">
      <c r="A70" s="3"/>
      <c r="B70" s="3"/>
      <c r="C70" s="3"/>
      <c r="D70" s="3"/>
      <c r="E70" s="3"/>
      <c r="F70" s="3"/>
      <c r="G70" s="3"/>
      <c r="H70" s="3"/>
      <c r="I70" s="3"/>
      <c r="J70" s="3"/>
      <c r="K70" s="3"/>
    </row>
    <row r="71" spans="1:14" ht="15" customHeight="1" x14ac:dyDescent="0.25">
      <c r="A71" s="10" t="s">
        <v>295</v>
      </c>
      <c r="B71" s="10" t="s">
        <v>31</v>
      </c>
      <c r="C71" s="82" t="s">
        <v>7</v>
      </c>
      <c r="D71" s="83"/>
      <c r="E71" s="83"/>
      <c r="F71" s="83"/>
      <c r="G71" s="6" t="s">
        <v>32</v>
      </c>
      <c r="H71" s="6" t="s">
        <v>296</v>
      </c>
      <c r="I71" s="6" t="s">
        <v>297</v>
      </c>
      <c r="J71" s="57" t="s">
        <v>9</v>
      </c>
      <c r="K71" s="58"/>
    </row>
    <row r="72" spans="1:14" ht="30" customHeight="1" x14ac:dyDescent="0.25">
      <c r="A72" s="6" t="s">
        <v>337</v>
      </c>
      <c r="B72" s="28">
        <v>98524</v>
      </c>
      <c r="C72" s="91" t="str">
        <f>VLOOKUP(B72,S!$A:$D,2,FALSE)</f>
        <v>LIMPEZA MANUAL DE VEGETAÇÃO EM TERRENO COM ENXADA.AF_05/2018</v>
      </c>
      <c r="D72" s="91"/>
      <c r="E72" s="91"/>
      <c r="F72" s="92"/>
      <c r="G72" s="6" t="str">
        <f>VLOOKUP(B72,S!$A:$D,3,FALSE)</f>
        <v>M2</v>
      </c>
      <c r="H72" s="21"/>
      <c r="I72" s="21">
        <f>J75</f>
        <v>2.4700000000000002</v>
      </c>
      <c r="J72" s="76"/>
      <c r="K72" s="72"/>
      <c r="L72" s="21">
        <f>VLOOKUP(B72,S!$A:$D,4,FALSE)</f>
        <v>2.4700000000000002</v>
      </c>
      <c r="M72" s="6" t="str">
        <f>IF(ROUND((L72-I72),2)=0,"OK, confere com a tabela.",IF(ROUND((L72-I72),2)&lt;0,"ACIMA ("&amp;TEXT(ROUND(I72*100/L72,4),"0,0000")&amp;" %) da tabela.","ABAIXO ("&amp;TEXT(ROUND(I72*100/L72,4),"0,0000")&amp;" %) da tabela."))</f>
        <v>OK, confere com a tabela.</v>
      </c>
    </row>
    <row r="73" spans="1:14" ht="15" customHeight="1" x14ac:dyDescent="0.25">
      <c r="A73" s="16" t="s">
        <v>302</v>
      </c>
      <c r="B73" s="20">
        <v>88316</v>
      </c>
      <c r="C73" s="77" t="str">
        <f>VLOOKUP(B73,IF(A73="COMPOSICAO",S!$A:$D,I!$A:$D),2,FALSE)</f>
        <v>SERVENTE COM ENCARGOS COMPLEMENTARES</v>
      </c>
      <c r="D73" s="77"/>
      <c r="E73" s="77"/>
      <c r="F73" s="77"/>
      <c r="G73" s="16" t="str">
        <f>VLOOKUP(B73,IF(A73="COMPOSICAO",S!$A:$D,I!$A:$D),3,FALSE)</f>
        <v>H</v>
      </c>
      <c r="H73" s="22">
        <f>0.0718</f>
        <v>7.1800000000000003E-2</v>
      </c>
      <c r="I73" s="17">
        <f>IF(A73="COMPOSICAO",VLOOKUP("TOTAL - "&amp;B73,COMPOSICAO_AUX_1!$A:$J,10,FALSE),VLOOKUP(B73,I!$A:$D,4,FALSE))</f>
        <v>15.35</v>
      </c>
      <c r="J73" s="80">
        <f>TRUNC(H73*I73,2)</f>
        <v>1.1000000000000001</v>
      </c>
      <c r="K73" s="81"/>
      <c r="L73" s="3"/>
      <c r="M73" s="3"/>
      <c r="N73" s="3"/>
    </row>
    <row r="74" spans="1:14" ht="15" customHeight="1" x14ac:dyDescent="0.25">
      <c r="A74" s="16" t="s">
        <v>302</v>
      </c>
      <c r="B74" s="20">
        <v>88441</v>
      </c>
      <c r="C74" s="77" t="str">
        <f>VLOOKUP(B74,IF(A74="COMPOSICAO",S!$A:$D,I!$A:$D),2,FALSE)</f>
        <v>JARDINEIRO COM ENCARGOS COMPLEMENTARES</v>
      </c>
      <c r="D74" s="77"/>
      <c r="E74" s="77"/>
      <c r="F74" s="77"/>
      <c r="G74" s="16" t="str">
        <f>VLOOKUP(B74,IF(A74="COMPOSICAO",S!$A:$D,I!$A:$D),3,FALSE)</f>
        <v>H</v>
      </c>
      <c r="H74" s="22">
        <f>0.0718</f>
        <v>7.1800000000000003E-2</v>
      </c>
      <c r="I74" s="17">
        <f>IF(A74="COMPOSICAO",VLOOKUP("TOTAL - "&amp;B74,COMPOSICAO_AUX_1!$A:$J,10,FALSE),VLOOKUP(B74,I!$A:$D,4,FALSE))</f>
        <v>19.189999999999998</v>
      </c>
      <c r="J74" s="80">
        <f>TRUNC(H74*I74,2)</f>
        <v>1.37</v>
      </c>
      <c r="K74" s="81"/>
      <c r="L74" s="3"/>
      <c r="M74" s="3"/>
      <c r="N74" s="3"/>
    </row>
    <row r="75" spans="1:14" ht="15" customHeight="1" x14ac:dyDescent="0.25">
      <c r="A75" s="23" t="s">
        <v>303</v>
      </c>
      <c r="B75" s="24"/>
      <c r="C75" s="24"/>
      <c r="D75" s="24"/>
      <c r="E75" s="24"/>
      <c r="F75" s="24"/>
      <c r="G75" s="25"/>
      <c r="H75" s="26"/>
      <c r="I75" s="27"/>
      <c r="J75" s="80">
        <f>SUM(J72:K74)</f>
        <v>2.4700000000000002</v>
      </c>
      <c r="K75" s="81"/>
    </row>
    <row r="76" spans="1:14" ht="15" customHeight="1" x14ac:dyDescent="0.25">
      <c r="A76" s="23" t="str">
        <f>"TAXA DE BDI ("&amp;BDI&amp;" %)"</f>
        <v>TAXA DE BDI (20,8 %)</v>
      </c>
      <c r="B76" s="24"/>
      <c r="C76" s="24"/>
      <c r="D76" s="24"/>
      <c r="E76" s="24"/>
      <c r="F76" s="24"/>
      <c r="G76" s="25"/>
      <c r="H76" s="26"/>
      <c r="I76" s="27"/>
      <c r="J76" s="80">
        <f>ROUND(J75*(BDI/100),2)</f>
        <v>0.51</v>
      </c>
      <c r="K76" s="81"/>
    </row>
    <row r="77" spans="1:14" ht="15" customHeight="1" x14ac:dyDescent="0.25">
      <c r="A77" s="23" t="s">
        <v>338</v>
      </c>
      <c r="B77" s="24"/>
      <c r="C77" s="24"/>
      <c r="D77" s="24"/>
      <c r="E77" s="24"/>
      <c r="F77" s="24"/>
      <c r="G77" s="25"/>
      <c r="H77" s="26"/>
      <c r="I77" s="27"/>
      <c r="J77" s="80">
        <f>SUM(J75:K76)</f>
        <v>2.9800000000000004</v>
      </c>
      <c r="K77" s="81"/>
    </row>
    <row r="78" spans="1:14" ht="15" customHeight="1" x14ac:dyDescent="0.25">
      <c r="A78" s="3"/>
      <c r="B78" s="3"/>
      <c r="C78" s="3"/>
      <c r="D78" s="3"/>
      <c r="E78" s="3"/>
      <c r="F78" s="3"/>
      <c r="G78" s="3"/>
      <c r="H78" s="3"/>
      <c r="I78" s="3"/>
      <c r="J78" s="3"/>
      <c r="K78" s="3"/>
    </row>
    <row r="79" spans="1:14" ht="15" customHeight="1" x14ac:dyDescent="0.25">
      <c r="A79" s="10" t="s">
        <v>295</v>
      </c>
      <c r="B79" s="10" t="s">
        <v>31</v>
      </c>
      <c r="C79" s="82" t="s">
        <v>7</v>
      </c>
      <c r="D79" s="83"/>
      <c r="E79" s="83"/>
      <c r="F79" s="83"/>
      <c r="G79" s="6" t="s">
        <v>32</v>
      </c>
      <c r="H79" s="6" t="s">
        <v>296</v>
      </c>
      <c r="I79" s="6" t="s">
        <v>297</v>
      </c>
      <c r="J79" s="57" t="s">
        <v>9</v>
      </c>
      <c r="K79" s="58"/>
    </row>
    <row r="80" spans="1:14" ht="45" customHeight="1" x14ac:dyDescent="0.25">
      <c r="A80" s="6" t="s">
        <v>337</v>
      </c>
      <c r="B80" s="28">
        <v>98530</v>
      </c>
      <c r="C80" s="91" t="str">
        <f>VLOOKUP(B80,S!$A:$D,2,FALSE)</f>
        <v>CORTE RASO E RECORTE DE ÁRVORE COM DIÂMETRO DE TRONCO MAIOR OU IGUAL A 0,40 M E MENOR QUE 0,60 M.AF_05/2018</v>
      </c>
      <c r="D80" s="91"/>
      <c r="E80" s="91"/>
      <c r="F80" s="92"/>
      <c r="G80" s="6" t="str">
        <f>VLOOKUP(B80,S!$A:$D,3,FALSE)</f>
        <v>UN</v>
      </c>
      <c r="H80" s="21"/>
      <c r="I80" s="21">
        <f>J83</f>
        <v>95.009999999999991</v>
      </c>
      <c r="J80" s="76"/>
      <c r="K80" s="72"/>
      <c r="L80" s="21">
        <f>VLOOKUP(B80,S!$A:$D,4,FALSE)</f>
        <v>95.01</v>
      </c>
      <c r="M80" s="6" t="str">
        <f>IF(ROUND((L80-I80),2)=0,"OK, confere com a tabela.",IF(ROUND((L80-I80),2)&lt;0,"ACIMA ("&amp;TEXT(ROUND(I80*100/L80,4),"0,0000")&amp;" %) da tabela.","ABAIXO ("&amp;TEXT(ROUND(I80*100/L80,4),"0,0000")&amp;" %) da tabela."))</f>
        <v>OK, confere com a tabela.</v>
      </c>
    </row>
    <row r="81" spans="1:14" ht="15" customHeight="1" x14ac:dyDescent="0.25">
      <c r="A81" s="16" t="s">
        <v>302</v>
      </c>
      <c r="B81" s="20">
        <v>88316</v>
      </c>
      <c r="C81" s="77" t="str">
        <f>VLOOKUP(B81,IF(A81="COMPOSICAO",S!$A:$D,I!$A:$D),2,FALSE)</f>
        <v>SERVENTE COM ENCARGOS COMPLEMENTARES</v>
      </c>
      <c r="D81" s="77"/>
      <c r="E81" s="77"/>
      <c r="F81" s="77"/>
      <c r="G81" s="16" t="str">
        <f>VLOOKUP(B81,IF(A81="COMPOSICAO",S!$A:$D,I!$A:$D),3,FALSE)</f>
        <v>H</v>
      </c>
      <c r="H81" s="22">
        <f>2.7511</f>
        <v>2.7511000000000001</v>
      </c>
      <c r="I81" s="17">
        <f>IF(A81="COMPOSICAO",VLOOKUP("TOTAL - "&amp;B81,COMPOSICAO_AUX_1!$A:$J,10,FALSE),VLOOKUP(B81,I!$A:$D,4,FALSE))</f>
        <v>15.35</v>
      </c>
      <c r="J81" s="80">
        <f>TRUNC(H81*I81,2)</f>
        <v>42.22</v>
      </c>
      <c r="K81" s="81"/>
      <c r="L81" s="3"/>
      <c r="M81" s="3"/>
      <c r="N81" s="3"/>
    </row>
    <row r="82" spans="1:14" ht="15" customHeight="1" x14ac:dyDescent="0.25">
      <c r="A82" s="16" t="s">
        <v>302</v>
      </c>
      <c r="B82" s="20">
        <v>88441</v>
      </c>
      <c r="C82" s="77" t="str">
        <f>VLOOKUP(B82,IF(A82="COMPOSICAO",S!$A:$D,I!$A:$D),2,FALSE)</f>
        <v>JARDINEIRO COM ENCARGOS COMPLEMENTARES</v>
      </c>
      <c r="D82" s="77"/>
      <c r="E82" s="77"/>
      <c r="F82" s="77"/>
      <c r="G82" s="16" t="str">
        <f>VLOOKUP(B82,IF(A82="COMPOSICAO",S!$A:$D,I!$A:$D),3,FALSE)</f>
        <v>H</v>
      </c>
      <c r="H82" s="22">
        <f>2.7511</f>
        <v>2.7511000000000001</v>
      </c>
      <c r="I82" s="17">
        <f>IF(A82="COMPOSICAO",VLOOKUP("TOTAL - "&amp;B82,COMPOSICAO_AUX_1!$A:$J,10,FALSE),VLOOKUP(B82,I!$A:$D,4,FALSE))</f>
        <v>19.189999999999998</v>
      </c>
      <c r="J82" s="80">
        <f>TRUNC(H82*I82,2)</f>
        <v>52.79</v>
      </c>
      <c r="K82" s="81"/>
      <c r="L82" s="3"/>
      <c r="M82" s="3"/>
      <c r="N82" s="3"/>
    </row>
    <row r="83" spans="1:14" ht="15" customHeight="1" x14ac:dyDescent="0.25">
      <c r="A83" s="23" t="s">
        <v>303</v>
      </c>
      <c r="B83" s="24"/>
      <c r="C83" s="24"/>
      <c r="D83" s="24"/>
      <c r="E83" s="24"/>
      <c r="F83" s="24"/>
      <c r="G83" s="25"/>
      <c r="H83" s="26"/>
      <c r="I83" s="27"/>
      <c r="J83" s="80">
        <f>SUM(J80:K82)</f>
        <v>95.009999999999991</v>
      </c>
      <c r="K83" s="81"/>
    </row>
    <row r="84" spans="1:14" ht="15" customHeight="1" x14ac:dyDescent="0.25">
      <c r="A84" s="23" t="str">
        <f>"TAXA DE BDI ("&amp;BDI&amp;" %)"</f>
        <v>TAXA DE BDI (20,8 %)</v>
      </c>
      <c r="B84" s="24"/>
      <c r="C84" s="24"/>
      <c r="D84" s="24"/>
      <c r="E84" s="24"/>
      <c r="F84" s="24"/>
      <c r="G84" s="25"/>
      <c r="H84" s="26"/>
      <c r="I84" s="27"/>
      <c r="J84" s="80">
        <f>ROUND(J83*(BDI/100),2)</f>
        <v>19.760000000000002</v>
      </c>
      <c r="K84" s="81"/>
    </row>
    <row r="85" spans="1:14" ht="15" customHeight="1" x14ac:dyDescent="0.25">
      <c r="A85" s="23" t="s">
        <v>339</v>
      </c>
      <c r="B85" s="24"/>
      <c r="C85" s="24"/>
      <c r="D85" s="24"/>
      <c r="E85" s="24"/>
      <c r="F85" s="24"/>
      <c r="G85" s="25"/>
      <c r="H85" s="26"/>
      <c r="I85" s="27"/>
      <c r="J85" s="80">
        <f>SUM(J83:K84)</f>
        <v>114.77</v>
      </c>
      <c r="K85" s="81"/>
    </row>
    <row r="86" spans="1:14" ht="15" customHeight="1" x14ac:dyDescent="0.25">
      <c r="A86" s="3"/>
      <c r="B86" s="3"/>
      <c r="C86" s="3"/>
      <c r="D86" s="3"/>
      <c r="E86" s="3"/>
      <c r="F86" s="3"/>
      <c r="G86" s="3"/>
      <c r="H86" s="3"/>
      <c r="I86" s="3"/>
      <c r="J86" s="3"/>
      <c r="K86" s="3"/>
    </row>
    <row r="87" spans="1:14" ht="15" customHeight="1" x14ac:dyDescent="0.25">
      <c r="A87" s="10" t="s">
        <v>295</v>
      </c>
      <c r="B87" s="10" t="s">
        <v>31</v>
      </c>
      <c r="C87" s="82" t="s">
        <v>7</v>
      </c>
      <c r="D87" s="83"/>
      <c r="E87" s="83"/>
      <c r="F87" s="83"/>
      <c r="G87" s="6" t="s">
        <v>32</v>
      </c>
      <c r="H87" s="6" t="s">
        <v>296</v>
      </c>
      <c r="I87" s="6" t="s">
        <v>297</v>
      </c>
      <c r="J87" s="57" t="s">
        <v>9</v>
      </c>
      <c r="K87" s="58"/>
    </row>
    <row r="88" spans="1:14" ht="30" customHeight="1" x14ac:dyDescent="0.25">
      <c r="A88" s="6" t="s">
        <v>11</v>
      </c>
      <c r="B88" s="6" t="s">
        <v>340</v>
      </c>
      <c r="C88" s="91" t="str">
        <f>VLOOKUP(B88,S!$A:$D,2,FALSE)</f>
        <v>SERVIÇOS DE SONDAGEM GEOTÉCNICA MISTA EM SOLOS</v>
      </c>
      <c r="D88" s="91"/>
      <c r="E88" s="91"/>
      <c r="F88" s="92"/>
      <c r="G88" s="6" t="str">
        <f>VLOOKUP(B88,S!$A:$D,3,FALSE)</f>
        <v>M</v>
      </c>
      <c r="H88" s="21"/>
      <c r="I88" s="21">
        <f>J90</f>
        <v>235.12</v>
      </c>
      <c r="J88" s="76"/>
      <c r="K88" s="72"/>
      <c r="L88" s="21">
        <f>VLOOKUP(B88,S!$A:$D,4,FALSE)</f>
        <v>235.12</v>
      </c>
      <c r="M88" s="6" t="str">
        <f>IF(ROUND((L88-I88),2)=0,"OK, confere com a tabela.",IF(ROUND((L88-I88),2)&lt;0,"ACIMA ("&amp;TEXT(ROUND(I88*100/L88,4),"0,0000")&amp;" %) da tabela.","ABAIXO ("&amp;TEXT(ROUND(I88*100/L88,4),"0,0000")&amp;" %) da tabela."))</f>
        <v>OK, confere com a tabela.</v>
      </c>
    </row>
    <row r="89" spans="1:14" ht="30" customHeight="1" x14ac:dyDescent="0.25">
      <c r="A89" s="16" t="s">
        <v>306</v>
      </c>
      <c r="B89" s="16" t="s">
        <v>341</v>
      </c>
      <c r="C89" s="77" t="str">
        <f>VLOOKUP(B89,IF(A89="COMPOSICAO",S!$A:$D,I!$A:$D),2,FALSE)</f>
        <v>SERVIÇOS DE SONDAGEM GEOTÉCNICA MISTA EM SOLOS</v>
      </c>
      <c r="D89" s="77"/>
      <c r="E89" s="77"/>
      <c r="F89" s="77"/>
      <c r="G89" s="16" t="str">
        <f>VLOOKUP(B89,IF(A89="COMPOSICAO",S!$A:$D,I!$A:$D),3,FALSE)</f>
        <v>M</v>
      </c>
      <c r="H89" s="22">
        <f>1</f>
        <v>1</v>
      </c>
      <c r="I89" s="17">
        <f>IF(A89="COMPOSICAO",VLOOKUP("TOTAL - "&amp;B89,COMPOSICAO_AUX_1!$A:$J,10,FALSE),VLOOKUP(B89,I!$A:$D,4,FALSE))</f>
        <v>235.12</v>
      </c>
      <c r="J89" s="80">
        <f>TRUNC(H89*I89,2)</f>
        <v>235.12</v>
      </c>
      <c r="K89" s="81"/>
      <c r="L89" s="3"/>
      <c r="M89" s="3"/>
      <c r="N89" s="3"/>
    </row>
    <row r="90" spans="1:14" ht="15" customHeight="1" x14ac:dyDescent="0.25">
      <c r="A90" s="23" t="s">
        <v>303</v>
      </c>
      <c r="B90" s="24"/>
      <c r="C90" s="24"/>
      <c r="D90" s="24"/>
      <c r="E90" s="24"/>
      <c r="F90" s="24"/>
      <c r="G90" s="25"/>
      <c r="H90" s="26"/>
      <c r="I90" s="27"/>
      <c r="J90" s="80">
        <f>SUM(J88:K89)</f>
        <v>235.12</v>
      </c>
      <c r="K90" s="81"/>
    </row>
    <row r="91" spans="1:14" ht="15" customHeight="1" x14ac:dyDescent="0.25">
      <c r="A91" s="23" t="str">
        <f>"TAXA DE BDI ("&amp;BDI&amp;" %)"</f>
        <v>TAXA DE BDI (20,8 %)</v>
      </c>
      <c r="B91" s="24"/>
      <c r="C91" s="24"/>
      <c r="D91" s="24"/>
      <c r="E91" s="24"/>
      <c r="F91" s="24"/>
      <c r="G91" s="25"/>
      <c r="H91" s="26"/>
      <c r="I91" s="27"/>
      <c r="J91" s="80">
        <f>ROUND(J90*(BDI/100),2)</f>
        <v>48.9</v>
      </c>
      <c r="K91" s="81"/>
    </row>
    <row r="92" spans="1:14" ht="15" customHeight="1" x14ac:dyDescent="0.25">
      <c r="A92" s="23" t="s">
        <v>342</v>
      </c>
      <c r="B92" s="24"/>
      <c r="C92" s="24"/>
      <c r="D92" s="24"/>
      <c r="E92" s="24"/>
      <c r="F92" s="24"/>
      <c r="G92" s="25"/>
      <c r="H92" s="26"/>
      <c r="I92" s="27"/>
      <c r="J92" s="80">
        <f>SUM(J90:K91)</f>
        <v>284.02</v>
      </c>
      <c r="K92" s="81"/>
    </row>
    <row r="93" spans="1:14" ht="15" customHeight="1" x14ac:dyDescent="0.25">
      <c r="A93" s="3"/>
      <c r="B93" s="3"/>
      <c r="C93" s="3"/>
      <c r="D93" s="3"/>
      <c r="E93" s="3"/>
      <c r="F93" s="3"/>
      <c r="G93" s="3"/>
      <c r="H93" s="3"/>
      <c r="I93" s="3"/>
      <c r="J93" s="3"/>
      <c r="K93" s="3"/>
    </row>
    <row r="94" spans="1:14" ht="15" customHeight="1" x14ac:dyDescent="0.25">
      <c r="A94" s="10" t="s">
        <v>295</v>
      </c>
      <c r="B94" s="10" t="s">
        <v>31</v>
      </c>
      <c r="C94" s="82" t="s">
        <v>7</v>
      </c>
      <c r="D94" s="83"/>
      <c r="E94" s="83"/>
      <c r="F94" s="83"/>
      <c r="G94" s="6" t="s">
        <v>32</v>
      </c>
      <c r="H94" s="6" t="s">
        <v>296</v>
      </c>
      <c r="I94" s="6" t="s">
        <v>297</v>
      </c>
      <c r="J94" s="57" t="s">
        <v>9</v>
      </c>
      <c r="K94" s="58"/>
    </row>
    <row r="95" spans="1:14" ht="15" customHeight="1" x14ac:dyDescent="0.25">
      <c r="A95" s="6" t="s">
        <v>11</v>
      </c>
      <c r="B95" s="6" t="s">
        <v>343</v>
      </c>
      <c r="C95" s="91" t="s">
        <v>344</v>
      </c>
      <c r="D95" s="91"/>
      <c r="E95" s="91"/>
      <c r="F95" s="92"/>
      <c r="G95" s="6" t="s">
        <v>129</v>
      </c>
      <c r="H95" s="21"/>
      <c r="I95" s="21">
        <f>J97</f>
        <v>2.71</v>
      </c>
      <c r="J95" s="76"/>
      <c r="K95" s="72"/>
      <c r="L95" s="21">
        <v>0</v>
      </c>
      <c r="M95" s="6" t="s">
        <v>301</v>
      </c>
    </row>
    <row r="96" spans="1:14" ht="45" customHeight="1" x14ac:dyDescent="0.25">
      <c r="A96" s="16" t="s">
        <v>306</v>
      </c>
      <c r="B96" s="16" t="s">
        <v>345</v>
      </c>
      <c r="C96" s="77" t="str">
        <f>VLOOKUP(B96,IF(A96="COMPOSICAO",S!$A:$D,I!$A:$D),2,FALSE)</f>
        <v>PROJETO HIDRAÚLICO - ÁGUA FRIA COM ÁREA ATÉ 500M². OBSERVAÇÃO APRESENTAR CARTA DE VIABILIDADE DA DESO.</v>
      </c>
      <c r="D96" s="77"/>
      <c r="E96" s="77"/>
      <c r="F96" s="77"/>
      <c r="G96" s="16" t="str">
        <f>VLOOKUP(B96,IF(A96="COMPOSICAO",S!$A:$D,I!$A:$D),3,FALSE)</f>
        <v>M²</v>
      </c>
      <c r="H96" s="22">
        <f>1</f>
        <v>1</v>
      </c>
      <c r="I96" s="17">
        <f>IF(A96="COMPOSICAO",VLOOKUP("TOTAL - "&amp;B96,COMPOSICAO_AUX_1!$A:$J,10,FALSE),VLOOKUP(B96,I!$A:$D,4,FALSE))</f>
        <v>2.71</v>
      </c>
      <c r="J96" s="80">
        <f>TRUNC(H96*I96,2)</f>
        <v>2.71</v>
      </c>
      <c r="K96" s="81"/>
      <c r="L96" s="3"/>
      <c r="M96" s="3"/>
      <c r="N96" s="3"/>
    </row>
    <row r="97" spans="1:14" ht="15" customHeight="1" x14ac:dyDescent="0.25">
      <c r="A97" s="23" t="s">
        <v>303</v>
      </c>
      <c r="B97" s="24"/>
      <c r="C97" s="24"/>
      <c r="D97" s="24"/>
      <c r="E97" s="24"/>
      <c r="F97" s="24"/>
      <c r="G97" s="25"/>
      <c r="H97" s="26"/>
      <c r="I97" s="27"/>
      <c r="J97" s="80">
        <f>SUM(J95:K96)</f>
        <v>2.71</v>
      </c>
      <c r="K97" s="81"/>
    </row>
    <row r="98" spans="1:14" ht="15" customHeight="1" x14ac:dyDescent="0.25">
      <c r="A98" s="23" t="str">
        <f>"TAXA DE BDI ("&amp;BDI&amp;" %)"</f>
        <v>TAXA DE BDI (20,8 %)</v>
      </c>
      <c r="B98" s="24"/>
      <c r="C98" s="24"/>
      <c r="D98" s="24"/>
      <c r="E98" s="24"/>
      <c r="F98" s="24"/>
      <c r="G98" s="25"/>
      <c r="H98" s="26"/>
      <c r="I98" s="27"/>
      <c r="J98" s="80">
        <f>ROUND(J97*(BDI/100),2)</f>
        <v>0.56000000000000005</v>
      </c>
      <c r="K98" s="81"/>
    </row>
    <row r="99" spans="1:14" ht="15" customHeight="1" x14ac:dyDescent="0.25">
      <c r="A99" s="23" t="s">
        <v>346</v>
      </c>
      <c r="B99" s="24"/>
      <c r="C99" s="24"/>
      <c r="D99" s="24"/>
      <c r="E99" s="24"/>
      <c r="F99" s="24"/>
      <c r="G99" s="25"/>
      <c r="H99" s="26"/>
      <c r="I99" s="27"/>
      <c r="J99" s="80">
        <f>SUM(J97:K98)</f>
        <v>3.27</v>
      </c>
      <c r="K99" s="81"/>
    </row>
    <row r="100" spans="1:14" ht="15" customHeight="1" x14ac:dyDescent="0.25">
      <c r="A100" s="3"/>
      <c r="B100" s="3"/>
      <c r="C100" s="3"/>
      <c r="D100" s="3"/>
      <c r="E100" s="3"/>
      <c r="F100" s="3"/>
      <c r="G100" s="3"/>
      <c r="H100" s="3"/>
      <c r="I100" s="3"/>
      <c r="J100" s="3"/>
      <c r="K100" s="3"/>
    </row>
    <row r="101" spans="1:14" ht="15" customHeight="1" x14ac:dyDescent="0.25">
      <c r="A101" s="10" t="s">
        <v>295</v>
      </c>
      <c r="B101" s="10" t="s">
        <v>31</v>
      </c>
      <c r="C101" s="82" t="s">
        <v>7</v>
      </c>
      <c r="D101" s="83"/>
      <c r="E101" s="83"/>
      <c r="F101" s="83"/>
      <c r="G101" s="6" t="s">
        <v>32</v>
      </c>
      <c r="H101" s="6" t="s">
        <v>296</v>
      </c>
      <c r="I101" s="6" t="s">
        <v>297</v>
      </c>
      <c r="J101" s="57" t="s">
        <v>9</v>
      </c>
      <c r="K101" s="58"/>
    </row>
    <row r="102" spans="1:14" ht="30" customHeight="1" x14ac:dyDescent="0.25">
      <c r="A102" s="6" t="s">
        <v>11</v>
      </c>
      <c r="B102" s="6" t="s">
        <v>347</v>
      </c>
      <c r="C102" s="91" t="s">
        <v>348</v>
      </c>
      <c r="D102" s="91"/>
      <c r="E102" s="91"/>
      <c r="F102" s="92"/>
      <c r="G102" s="6" t="s">
        <v>129</v>
      </c>
      <c r="H102" s="21"/>
      <c r="I102" s="21">
        <f>J104</f>
        <v>2.71</v>
      </c>
      <c r="J102" s="76"/>
      <c r="K102" s="72"/>
      <c r="L102" s="21">
        <v>0</v>
      </c>
      <c r="M102" s="6" t="s">
        <v>301</v>
      </c>
    </row>
    <row r="103" spans="1:14" ht="75" customHeight="1" x14ac:dyDescent="0.25">
      <c r="A103" s="16" t="s">
        <v>306</v>
      </c>
      <c r="B103" s="16" t="s">
        <v>349</v>
      </c>
      <c r="C103" s="77" t="str">
        <f>VLOOKUP(B103,IF(A103="COMPOSICAO",S!$A:$D,I!$A:$D),2,FALSE)</f>
        <v>PROJETO DE REDE DE ESGOTO SANITÁRIO COM TRATAMENTO SIMPLES COM ÁREA ATÉ 500M² (FOSSA E FILTRO, SUMIDOURO OU DAFA). OBSERVAÇÃO: O CÁLCULO DA ÁREA EQUIVALE À ÁREA CONSTRUÍDA E O PROJETO DEVE SER APROVADO PELA ADEMA.</v>
      </c>
      <c r="D103" s="77"/>
      <c r="E103" s="77"/>
      <c r="F103" s="77"/>
      <c r="G103" s="16" t="str">
        <f>VLOOKUP(B103,IF(A103="COMPOSICAO",S!$A:$D,I!$A:$D),3,FALSE)</f>
        <v>M²</v>
      </c>
      <c r="H103" s="22">
        <f>1</f>
        <v>1</v>
      </c>
      <c r="I103" s="17">
        <f>IF(A103="COMPOSICAO",VLOOKUP("TOTAL - "&amp;B103,COMPOSICAO_AUX_1!$A:$J,10,FALSE),VLOOKUP(B103,I!$A:$D,4,FALSE))</f>
        <v>2.71</v>
      </c>
      <c r="J103" s="80">
        <f>TRUNC(H103*I103,2)</f>
        <v>2.71</v>
      </c>
      <c r="K103" s="81"/>
      <c r="L103" s="3"/>
      <c r="M103" s="3"/>
      <c r="N103" s="3"/>
    </row>
    <row r="104" spans="1:14" ht="15" customHeight="1" x14ac:dyDescent="0.25">
      <c r="A104" s="23" t="s">
        <v>303</v>
      </c>
      <c r="B104" s="24"/>
      <c r="C104" s="24"/>
      <c r="D104" s="24"/>
      <c r="E104" s="24"/>
      <c r="F104" s="24"/>
      <c r="G104" s="25"/>
      <c r="H104" s="26"/>
      <c r="I104" s="27"/>
      <c r="J104" s="80">
        <f>SUM(J102:K103)</f>
        <v>2.71</v>
      </c>
      <c r="K104" s="81"/>
    </row>
    <row r="105" spans="1:14" ht="15" customHeight="1" x14ac:dyDescent="0.25">
      <c r="A105" s="23" t="str">
        <f>"TAXA DE BDI ("&amp;BDI&amp;" %)"</f>
        <v>TAXA DE BDI (20,8 %)</v>
      </c>
      <c r="B105" s="24"/>
      <c r="C105" s="24"/>
      <c r="D105" s="24"/>
      <c r="E105" s="24"/>
      <c r="F105" s="24"/>
      <c r="G105" s="25"/>
      <c r="H105" s="26"/>
      <c r="I105" s="27"/>
      <c r="J105" s="80">
        <f>ROUND(J104*(BDI/100),2)</f>
        <v>0.56000000000000005</v>
      </c>
      <c r="K105" s="81"/>
    </row>
    <row r="106" spans="1:14" ht="15" customHeight="1" x14ac:dyDescent="0.25">
      <c r="A106" s="23" t="s">
        <v>350</v>
      </c>
      <c r="B106" s="24"/>
      <c r="C106" s="24"/>
      <c r="D106" s="24"/>
      <c r="E106" s="24"/>
      <c r="F106" s="24"/>
      <c r="G106" s="25"/>
      <c r="H106" s="26"/>
      <c r="I106" s="27"/>
      <c r="J106" s="80">
        <f>SUM(J104:K105)</f>
        <v>3.27</v>
      </c>
      <c r="K106" s="81"/>
    </row>
    <row r="107" spans="1:14" ht="15" customHeight="1" x14ac:dyDescent="0.25">
      <c r="A107" s="3"/>
      <c r="B107" s="3"/>
      <c r="C107" s="3"/>
      <c r="D107" s="3"/>
      <c r="E107" s="3"/>
      <c r="F107" s="3"/>
      <c r="G107" s="3"/>
      <c r="H107" s="3"/>
      <c r="I107" s="3"/>
      <c r="J107" s="3"/>
      <c r="K107" s="3"/>
    </row>
    <row r="108" spans="1:14" ht="15" customHeight="1" x14ac:dyDescent="0.25">
      <c r="A108" s="10" t="s">
        <v>295</v>
      </c>
      <c r="B108" s="10" t="s">
        <v>31</v>
      </c>
      <c r="C108" s="82" t="s">
        <v>7</v>
      </c>
      <c r="D108" s="83"/>
      <c r="E108" s="83"/>
      <c r="F108" s="83"/>
      <c r="G108" s="6" t="s">
        <v>32</v>
      </c>
      <c r="H108" s="6" t="s">
        <v>296</v>
      </c>
      <c r="I108" s="6" t="s">
        <v>297</v>
      </c>
      <c r="J108" s="57" t="s">
        <v>9</v>
      </c>
      <c r="K108" s="58"/>
    </row>
    <row r="109" spans="1:14" ht="30" customHeight="1" x14ac:dyDescent="0.25">
      <c r="A109" s="6" t="s">
        <v>351</v>
      </c>
      <c r="B109" s="28">
        <v>96526</v>
      </c>
      <c r="C109" s="91" t="str">
        <f>VLOOKUP(B109,S!$A:$D,2,FALSE)</f>
        <v>ESCAVAÇÃO MANUAL DE VALA PARA VIGA BALDRAME, SEM PREVISÃO DE FÔRMA. AF_06/2017</v>
      </c>
      <c r="D109" s="91"/>
      <c r="E109" s="91"/>
      <c r="F109" s="92"/>
      <c r="G109" s="6" t="str">
        <f>VLOOKUP(B109,S!$A:$D,3,FALSE)</f>
        <v>M3</v>
      </c>
      <c r="H109" s="21"/>
      <c r="I109" s="21">
        <f>J112</f>
        <v>223.24</v>
      </c>
      <c r="J109" s="76"/>
      <c r="K109" s="72"/>
      <c r="L109" s="21">
        <f>VLOOKUP(B109,S!$A:$D,4,FALSE)</f>
        <v>223.24</v>
      </c>
      <c r="M109" s="6" t="str">
        <f>IF(ROUND((L109-I109),2)=0,"OK, confere com a tabela.",IF(ROUND((L109-I109),2)&lt;0,"ACIMA ("&amp;TEXT(ROUND(I109*100/L109,4),"0,0000")&amp;" %) da tabela.","ABAIXO ("&amp;TEXT(ROUND(I109*100/L109,4),"0,0000")&amp;" %) da tabela."))</f>
        <v>OK, confere com a tabela.</v>
      </c>
    </row>
    <row r="110" spans="1:14" ht="15" customHeight="1" x14ac:dyDescent="0.25">
      <c r="A110" s="16" t="s">
        <v>302</v>
      </c>
      <c r="B110" s="20">
        <v>88309</v>
      </c>
      <c r="C110" s="77" t="str">
        <f>VLOOKUP(B110,IF(A110="COMPOSICAO",S!$A:$D,I!$A:$D),2,FALSE)</f>
        <v>PEDREIRO COM ENCARGOS COMPLEMENTARES</v>
      </c>
      <c r="D110" s="77"/>
      <c r="E110" s="77"/>
      <c r="F110" s="77"/>
      <c r="G110" s="16" t="str">
        <f>VLOOKUP(B110,IF(A110="COMPOSICAO",S!$A:$D,I!$A:$D),3,FALSE)</f>
        <v>H</v>
      </c>
      <c r="H110" s="22">
        <f>5.112</f>
        <v>5.1120000000000001</v>
      </c>
      <c r="I110" s="17">
        <f>IF(A110="COMPOSICAO",VLOOKUP("TOTAL - "&amp;B110,COMPOSICAO_AUX_1!$A:$J,10,FALSE),VLOOKUP(B110,I!$A:$D,4,FALSE))</f>
        <v>19.849999999999994</v>
      </c>
      <c r="J110" s="80">
        <f>TRUNC(H110*I110,2)</f>
        <v>101.47</v>
      </c>
      <c r="K110" s="81"/>
      <c r="L110" s="3"/>
      <c r="M110" s="3"/>
      <c r="N110" s="3"/>
    </row>
    <row r="111" spans="1:14" ht="15" customHeight="1" x14ac:dyDescent="0.25">
      <c r="A111" s="16" t="s">
        <v>302</v>
      </c>
      <c r="B111" s="20">
        <v>88316</v>
      </c>
      <c r="C111" s="77" t="str">
        <f>VLOOKUP(B111,IF(A111="COMPOSICAO",S!$A:$D,I!$A:$D),2,FALSE)</f>
        <v>SERVENTE COM ENCARGOS COMPLEMENTARES</v>
      </c>
      <c r="D111" s="77"/>
      <c r="E111" s="77"/>
      <c r="F111" s="77"/>
      <c r="G111" s="16" t="str">
        <f>VLOOKUP(B111,IF(A111="COMPOSICAO",S!$A:$D,I!$A:$D),3,FALSE)</f>
        <v>H</v>
      </c>
      <c r="H111" s="22">
        <f>7.933</f>
        <v>7.9329999999999998</v>
      </c>
      <c r="I111" s="17">
        <f>IF(A111="COMPOSICAO",VLOOKUP("TOTAL - "&amp;B111,COMPOSICAO_AUX_1!$A:$J,10,FALSE),VLOOKUP(B111,I!$A:$D,4,FALSE))</f>
        <v>15.35</v>
      </c>
      <c r="J111" s="80">
        <f>TRUNC(H111*I111,2)</f>
        <v>121.77</v>
      </c>
      <c r="K111" s="81"/>
      <c r="L111" s="3"/>
      <c r="M111" s="3"/>
      <c r="N111" s="3"/>
    </row>
    <row r="112" spans="1:14" ht="15" customHeight="1" x14ac:dyDescent="0.25">
      <c r="A112" s="23" t="s">
        <v>303</v>
      </c>
      <c r="B112" s="24"/>
      <c r="C112" s="24"/>
      <c r="D112" s="24"/>
      <c r="E112" s="24"/>
      <c r="F112" s="24"/>
      <c r="G112" s="25"/>
      <c r="H112" s="26"/>
      <c r="I112" s="27"/>
      <c r="J112" s="80">
        <f>SUM(J109:K111)</f>
        <v>223.24</v>
      </c>
      <c r="K112" s="81"/>
    </row>
    <row r="113" spans="1:14" ht="15" customHeight="1" x14ac:dyDescent="0.25">
      <c r="A113" s="23" t="str">
        <f>"TAXA DE BDI ("&amp;BDI&amp;" %)"</f>
        <v>TAXA DE BDI (20,8 %)</v>
      </c>
      <c r="B113" s="24"/>
      <c r="C113" s="24"/>
      <c r="D113" s="24"/>
      <c r="E113" s="24"/>
      <c r="F113" s="24"/>
      <c r="G113" s="25"/>
      <c r="H113" s="26"/>
      <c r="I113" s="27"/>
      <c r="J113" s="80">
        <f>ROUND(J112*(BDI/100),2)</f>
        <v>46.43</v>
      </c>
      <c r="K113" s="81"/>
    </row>
    <row r="114" spans="1:14" ht="15" customHeight="1" x14ac:dyDescent="0.25">
      <c r="A114" s="23" t="s">
        <v>352</v>
      </c>
      <c r="B114" s="24"/>
      <c r="C114" s="24"/>
      <c r="D114" s="24"/>
      <c r="E114" s="24"/>
      <c r="F114" s="24"/>
      <c r="G114" s="25"/>
      <c r="H114" s="26"/>
      <c r="I114" s="27"/>
      <c r="J114" s="80">
        <f>SUM(J112:K113)</f>
        <v>269.67</v>
      </c>
      <c r="K114" s="81"/>
    </row>
    <row r="115" spans="1:14" ht="15" customHeight="1" x14ac:dyDescent="0.25">
      <c r="A115" s="3"/>
      <c r="B115" s="3"/>
      <c r="C115" s="3"/>
      <c r="D115" s="3"/>
      <c r="E115" s="3"/>
      <c r="F115" s="3"/>
      <c r="G115" s="3"/>
      <c r="H115" s="3"/>
      <c r="I115" s="3"/>
      <c r="J115" s="3"/>
      <c r="K115" s="3"/>
    </row>
    <row r="116" spans="1:14" ht="15" customHeight="1" x14ac:dyDescent="0.25">
      <c r="A116" s="10" t="s">
        <v>295</v>
      </c>
      <c r="B116" s="10" t="s">
        <v>31</v>
      </c>
      <c r="C116" s="82" t="s">
        <v>7</v>
      </c>
      <c r="D116" s="83"/>
      <c r="E116" s="83"/>
      <c r="F116" s="83"/>
      <c r="G116" s="6" t="s">
        <v>32</v>
      </c>
      <c r="H116" s="6" t="s">
        <v>296</v>
      </c>
      <c r="I116" s="6" t="s">
        <v>297</v>
      </c>
      <c r="J116" s="57" t="s">
        <v>9</v>
      </c>
      <c r="K116" s="58"/>
    </row>
    <row r="117" spans="1:14" ht="15" customHeight="1" x14ac:dyDescent="0.25">
      <c r="A117" s="6" t="s">
        <v>11</v>
      </c>
      <c r="B117" s="6" t="s">
        <v>353</v>
      </c>
      <c r="C117" s="91" t="str">
        <f>VLOOKUP(B117,S!$A:$D,2,FALSE)</f>
        <v>ALVENARIA DE EMBASAMENTO DE PEDRA ARGAMASSADA</v>
      </c>
      <c r="D117" s="91"/>
      <c r="E117" s="91"/>
      <c r="F117" s="92"/>
      <c r="G117" s="6" t="str">
        <f>VLOOKUP(B117,S!$A:$D,3,FALSE)</f>
        <v>M3</v>
      </c>
      <c r="H117" s="21"/>
      <c r="I117" s="21">
        <f>J123</f>
        <v>415.85</v>
      </c>
      <c r="J117" s="76"/>
      <c r="K117" s="72"/>
      <c r="L117" s="21">
        <f>VLOOKUP(B117,S!$A:$D,4,FALSE)</f>
        <v>451.89</v>
      </c>
      <c r="M117" s="6" t="str">
        <f>IF(ROUND((L117-I117),2)=0,"OK, confere com a tabela.",IF(ROUND((L117-I117),2)&lt;0,"ACIMA ("&amp;TEXT(ROUND(I117*100/L117,4),"0,0000")&amp;" %) da tabela.","ABAIXO ("&amp;TEXT(ROUND(I117*100/L117,4),"0,0000")&amp;" %) da tabela."))</f>
        <v>ABAIXO (92,0246 %) da tabela.</v>
      </c>
    </row>
    <row r="118" spans="1:14" ht="15" customHeight="1" x14ac:dyDescent="0.25">
      <c r="A118" s="16" t="s">
        <v>302</v>
      </c>
      <c r="B118" s="16">
        <v>88309</v>
      </c>
      <c r="C118" s="77" t="str">
        <f>VLOOKUP(B118,IF(A118="COMPOSICAO",S!$A:$D,I!$A:$D),2,FALSE)</f>
        <v>PEDREIRO COM ENCARGOS COMPLEMENTARES</v>
      </c>
      <c r="D118" s="77"/>
      <c r="E118" s="77"/>
      <c r="F118" s="77"/>
      <c r="G118" s="16" t="str">
        <f>VLOOKUP(B118,IF(A118="COMPOSICAO",S!$A:$D,I!$A:$D),3,FALSE)</f>
        <v>H</v>
      </c>
      <c r="H118" s="22">
        <f>6</f>
        <v>6</v>
      </c>
      <c r="I118" s="17">
        <f>IF(A118="COMPOSICAO",VLOOKUP("TOTAL - "&amp;B118,COMPOSICAO_AUX_1!$A:$J,10,FALSE),VLOOKUP(B118,I!$A:$D,4,FALSE))</f>
        <v>19.849999999999994</v>
      </c>
      <c r="J118" s="80">
        <f>TRUNC(H118*I118,2)</f>
        <v>119.1</v>
      </c>
      <c r="K118" s="81"/>
      <c r="L118" s="3"/>
      <c r="M118" s="3"/>
      <c r="N118" s="3"/>
    </row>
    <row r="119" spans="1:14" ht="15" customHeight="1" x14ac:dyDescent="0.25">
      <c r="A119" s="16" t="s">
        <v>302</v>
      </c>
      <c r="B119" s="16">
        <v>88316</v>
      </c>
      <c r="C119" s="77" t="str">
        <f>VLOOKUP(B119,IF(A119="COMPOSICAO",S!$A:$D,I!$A:$D),2,FALSE)</f>
        <v>SERVENTE COM ENCARGOS COMPLEMENTARES</v>
      </c>
      <c r="D119" s="77"/>
      <c r="E119" s="77"/>
      <c r="F119" s="77"/>
      <c r="G119" s="16" t="str">
        <f>VLOOKUP(B119,IF(A119="COMPOSICAO",S!$A:$D,I!$A:$D),3,FALSE)</f>
        <v>H</v>
      </c>
      <c r="H119" s="22">
        <f>9</f>
        <v>9</v>
      </c>
      <c r="I119" s="17">
        <f>IF(A119="COMPOSICAO",VLOOKUP("TOTAL - "&amp;B119,COMPOSICAO_AUX_1!$A:$J,10,FALSE),VLOOKUP(B119,I!$A:$D,4,FALSE))</f>
        <v>15.35</v>
      </c>
      <c r="J119" s="80">
        <f>TRUNC(H119*I119,2)</f>
        <v>138.15</v>
      </c>
      <c r="K119" s="81"/>
      <c r="L119" s="3"/>
      <c r="M119" s="3"/>
      <c r="N119" s="3"/>
    </row>
    <row r="120" spans="1:14" ht="15" customHeight="1" x14ac:dyDescent="0.25">
      <c r="A120" s="16" t="s">
        <v>306</v>
      </c>
      <c r="B120" s="16" t="s">
        <v>356</v>
      </c>
      <c r="C120" s="77" t="str">
        <f>VLOOKUP(B120,IF(A120="COMPOSICAO",S!$A:$D,I!$A:$D),2,FALSE)</f>
        <v>AREIA MEDIA</v>
      </c>
      <c r="D120" s="77"/>
      <c r="E120" s="77"/>
      <c r="F120" s="77"/>
      <c r="G120" s="16" t="str">
        <f>VLOOKUP(B120,IF(A120="COMPOSICAO",S!$A:$D,I!$A:$D),3,FALSE)</f>
        <v>M3</v>
      </c>
      <c r="H120" s="22">
        <f>0.3648</f>
        <v>0.36480000000000001</v>
      </c>
      <c r="I120" s="17">
        <f>IF(A120="COMPOSICAO",VLOOKUP("TOTAL - "&amp;B120,COMPOSICAO_AUX_1!$A:$J,10,FALSE),VLOOKUP(B120,I!$A:$D,4,FALSE))</f>
        <v>67.5</v>
      </c>
      <c r="J120" s="80">
        <f>TRUNC(H120*I120,2)</f>
        <v>24.62</v>
      </c>
      <c r="K120" s="81"/>
      <c r="L120" s="3"/>
      <c r="M120" s="3"/>
      <c r="N120" s="3"/>
    </row>
    <row r="121" spans="1:14" ht="15" customHeight="1" x14ac:dyDescent="0.25">
      <c r="A121" s="16" t="s">
        <v>306</v>
      </c>
      <c r="B121" s="16" t="s">
        <v>357</v>
      </c>
      <c r="C121" s="77" t="str">
        <f>VLOOKUP(B121,IF(A121="COMPOSICAO",S!$A:$D,I!$A:$D),2,FALSE)</f>
        <v>CIMENTO PORTLAND</v>
      </c>
      <c r="D121" s="77"/>
      <c r="E121" s="77"/>
      <c r="F121" s="77"/>
      <c r="G121" s="16" t="str">
        <f>VLOOKUP(B121,IF(A121="COMPOSICAO",S!$A:$D,I!$A:$D),3,FALSE)</f>
        <v>KG</v>
      </c>
      <c r="H121" s="22">
        <f>109.5</f>
        <v>109.5</v>
      </c>
      <c r="I121" s="17">
        <f>IF(A121="COMPOSICAO",VLOOKUP("TOTAL - "&amp;B121,COMPOSICAO_AUX_1!$A:$J,10,FALSE),VLOOKUP(B121,I!$A:$D,4,FALSE))</f>
        <v>0.56000000000000005</v>
      </c>
      <c r="J121" s="80">
        <f>TRUNC(H121*I121,2)</f>
        <v>61.32</v>
      </c>
      <c r="K121" s="81"/>
      <c r="L121" s="3"/>
      <c r="M121" s="3"/>
      <c r="N121" s="3"/>
    </row>
    <row r="122" spans="1:14" ht="15" customHeight="1" x14ac:dyDescent="0.25">
      <c r="A122" s="16" t="s">
        <v>306</v>
      </c>
      <c r="B122" s="16" t="s">
        <v>358</v>
      </c>
      <c r="C122" s="77" t="str">
        <f>VLOOKUP(B122,IF(A122="COMPOSICAO",S!$A:$D,I!$A:$D),2,FALSE)</f>
        <v>PEDRA DE MÃO (RACHÃO)</v>
      </c>
      <c r="D122" s="77"/>
      <c r="E122" s="77"/>
      <c r="F122" s="77"/>
      <c r="G122" s="16" t="str">
        <f>VLOOKUP(B122,IF(A122="COMPOSICAO",S!$A:$D,I!$A:$D),3,FALSE)</f>
        <v>M3</v>
      </c>
      <c r="H122" s="22">
        <f>1.1</f>
        <v>1.1000000000000001</v>
      </c>
      <c r="I122" s="17">
        <f>IF(A122="COMPOSICAO",VLOOKUP("TOTAL - "&amp;B122,COMPOSICAO_AUX_1!$A:$J,10,FALSE),VLOOKUP(B122,I!$A:$D,4,FALSE))</f>
        <v>66.06</v>
      </c>
      <c r="J122" s="80">
        <f>TRUNC(H122*I122,2)</f>
        <v>72.66</v>
      </c>
      <c r="K122" s="81"/>
      <c r="L122" s="3"/>
      <c r="M122" s="3"/>
      <c r="N122" s="3"/>
    </row>
    <row r="123" spans="1:14" ht="15" customHeight="1" x14ac:dyDescent="0.25">
      <c r="A123" s="23" t="s">
        <v>303</v>
      </c>
      <c r="B123" s="24"/>
      <c r="C123" s="24"/>
      <c r="D123" s="24"/>
      <c r="E123" s="24"/>
      <c r="F123" s="24"/>
      <c r="G123" s="25"/>
      <c r="H123" s="26"/>
      <c r="I123" s="27"/>
      <c r="J123" s="80">
        <f>SUM(J117:K122)</f>
        <v>415.85</v>
      </c>
      <c r="K123" s="81"/>
    </row>
    <row r="124" spans="1:14" ht="15" customHeight="1" x14ac:dyDescent="0.25">
      <c r="A124" s="23" t="str">
        <f>"TAXA DE BDI ("&amp;BDI&amp;" %)"</f>
        <v>TAXA DE BDI (20,8 %)</v>
      </c>
      <c r="B124" s="24"/>
      <c r="C124" s="24"/>
      <c r="D124" s="24"/>
      <c r="E124" s="24"/>
      <c r="F124" s="24"/>
      <c r="G124" s="25"/>
      <c r="H124" s="26"/>
      <c r="I124" s="27"/>
      <c r="J124" s="80">
        <f>ROUND(J123*(BDI/100),2)</f>
        <v>86.5</v>
      </c>
      <c r="K124" s="81"/>
    </row>
    <row r="125" spans="1:14" ht="15" customHeight="1" x14ac:dyDescent="0.25">
      <c r="A125" s="23" t="s">
        <v>359</v>
      </c>
      <c r="B125" s="24"/>
      <c r="C125" s="24"/>
      <c r="D125" s="24"/>
      <c r="E125" s="24"/>
      <c r="F125" s="24"/>
      <c r="G125" s="25"/>
      <c r="H125" s="26"/>
      <c r="I125" s="27"/>
      <c r="J125" s="80">
        <f>SUM(J123:K124)</f>
        <v>502.35</v>
      </c>
      <c r="K125" s="81"/>
    </row>
    <row r="126" spans="1:14" ht="15" customHeight="1" x14ac:dyDescent="0.25">
      <c r="A126" s="3"/>
      <c r="B126" s="3"/>
      <c r="C126" s="3"/>
      <c r="D126" s="3"/>
      <c r="E126" s="3"/>
      <c r="F126" s="3"/>
      <c r="G126" s="3"/>
      <c r="H126" s="3"/>
      <c r="I126" s="3"/>
      <c r="J126" s="3"/>
      <c r="K126" s="3"/>
    </row>
    <row r="127" spans="1:14" ht="15" customHeight="1" x14ac:dyDescent="0.25">
      <c r="A127" s="10" t="s">
        <v>295</v>
      </c>
      <c r="B127" s="10" t="s">
        <v>31</v>
      </c>
      <c r="C127" s="82" t="s">
        <v>7</v>
      </c>
      <c r="D127" s="83"/>
      <c r="E127" s="83"/>
      <c r="F127" s="83"/>
      <c r="G127" s="6" t="s">
        <v>32</v>
      </c>
      <c r="H127" s="6" t="s">
        <v>296</v>
      </c>
      <c r="I127" s="6" t="s">
        <v>297</v>
      </c>
      <c r="J127" s="57" t="s">
        <v>9</v>
      </c>
      <c r="K127" s="58"/>
    </row>
    <row r="128" spans="1:14" ht="90" customHeight="1" x14ac:dyDescent="0.25">
      <c r="A128" s="6" t="s">
        <v>360</v>
      </c>
      <c r="B128" s="28">
        <v>87525</v>
      </c>
      <c r="C128" s="91" t="str">
        <f>VLOOKUP(B128,S!$A:$D,2,FALSE)</f>
        <v>ALVENARIA DE VEDAÇÃO DE BLOCOS CERÂMICOS FURADOS NA HORIZONTAL DE 14X9X19CM (ESPESSURA 14CM, BLOCO DEITADO) DE PAREDES COM ÁREA LÍQUIDA MAIOR OU IGUAL A 6M² COM VÃOS E ARGAMASSA DE ASSENTAMENTO COM PREPARO EM BETONEIRA. AF_06/2014</v>
      </c>
      <c r="D128" s="91"/>
      <c r="E128" s="91"/>
      <c r="F128" s="92"/>
      <c r="G128" s="6" t="str">
        <f>VLOOKUP(B128,S!$A:$D,3,FALSE)</f>
        <v>M2</v>
      </c>
      <c r="H128" s="21"/>
      <c r="I128" s="21">
        <f>J135</f>
        <v>124.41</v>
      </c>
      <c r="J128" s="76"/>
      <c r="K128" s="72"/>
      <c r="L128" s="21">
        <f>VLOOKUP(B128,S!$A:$D,4,FALSE)</f>
        <v>124.41</v>
      </c>
      <c r="M128" s="6" t="str">
        <f>IF(ROUND((L128-I128),2)=0,"OK, confere com a tabela.",IF(ROUND((L128-I128),2)&lt;0,"ACIMA ("&amp;TEXT(ROUND(I128*100/L128,4),"0,0000")&amp;" %) da tabela.","ABAIXO ("&amp;TEXT(ROUND(I128*100/L128,4),"0,0000")&amp;" %) da tabela."))</f>
        <v>OK, confere com a tabela.</v>
      </c>
    </row>
    <row r="129" spans="1:14" ht="30" customHeight="1" x14ac:dyDescent="0.25">
      <c r="A129" s="16" t="s">
        <v>306</v>
      </c>
      <c r="B129" s="20">
        <v>7267</v>
      </c>
      <c r="C129" s="77" t="str">
        <f>VLOOKUP(B129,IF(A129="COMPOSICAO",S!$A:$D,I!$A:$D),2,FALSE)</f>
        <v>BLOCO CERAMICO VAZADO PARA ALVENARIA DE VEDACAO, 6 FUROS, DE 9 X 14 X 19 CM (L X A X C)</v>
      </c>
      <c r="D129" s="77"/>
      <c r="E129" s="77"/>
      <c r="F129" s="77"/>
      <c r="G129" s="16" t="str">
        <f>VLOOKUP(B129,IF(A129="COMPOSICAO",S!$A:$D,I!$A:$D),3,FALSE)</f>
        <v>UN</v>
      </c>
      <c r="H129" s="22">
        <f>56.62</f>
        <v>56.62</v>
      </c>
      <c r="I129" s="17">
        <f>IF(A129="COMPOSICAO",VLOOKUP("TOTAL - "&amp;B129,COMPOSICAO_AUX_1!$A:$J,10,FALSE),VLOOKUP(B129,I!$A:$D,4,FALSE))</f>
        <v>0.68</v>
      </c>
      <c r="J129" s="80">
        <f t="shared" ref="J129:J134" si="3">TRUNC(H129*I129,2)</f>
        <v>38.5</v>
      </c>
      <c r="K129" s="81"/>
      <c r="L129" s="3"/>
      <c r="M129" s="3"/>
      <c r="N129" s="3"/>
    </row>
    <row r="130" spans="1:14" ht="45" customHeight="1" x14ac:dyDescent="0.25">
      <c r="A130" s="16" t="s">
        <v>306</v>
      </c>
      <c r="B130" s="20">
        <v>34547</v>
      </c>
      <c r="C130" s="77" t="str">
        <f>VLOOKUP(B130,IF(A130="COMPOSICAO",S!$A:$D,I!$A:$D),2,FALSE)</f>
        <v>TELA DE ACO SOLDADA GALVANIZADA/ZINCADA PARA ALVENARIA, FIO  D = *1,20 A 1,70* MM, MALHA 15 X 15 MM, (C X L) *50 X 12* CM</v>
      </c>
      <c r="D130" s="77"/>
      <c r="E130" s="77"/>
      <c r="F130" s="77"/>
      <c r="G130" s="16" t="str">
        <f>VLOOKUP(B130,IF(A130="COMPOSICAO",S!$A:$D,I!$A:$D),3,FALSE)</f>
        <v>M</v>
      </c>
      <c r="H130" s="22">
        <f>0.805</f>
        <v>0.80500000000000005</v>
      </c>
      <c r="I130" s="17">
        <f>IF(A130="COMPOSICAO",VLOOKUP("TOTAL - "&amp;B130,COMPOSICAO_AUX_1!$A:$J,10,FALSE),VLOOKUP(B130,I!$A:$D,4,FALSE))</f>
        <v>4.82</v>
      </c>
      <c r="J130" s="80">
        <f t="shared" si="3"/>
        <v>3.88</v>
      </c>
      <c r="K130" s="81"/>
      <c r="L130" s="3"/>
      <c r="M130" s="3"/>
      <c r="N130" s="3"/>
    </row>
    <row r="131" spans="1:14" ht="30" customHeight="1" x14ac:dyDescent="0.25">
      <c r="A131" s="16" t="s">
        <v>306</v>
      </c>
      <c r="B131" s="20">
        <v>37395</v>
      </c>
      <c r="C131" s="77" t="str">
        <f>VLOOKUP(B131,IF(A131="COMPOSICAO",S!$A:$D,I!$A:$D),2,FALSE)</f>
        <v>PINO DE ACO COM FURO, HASTE = 27 MM (ACAO DIRETA)</v>
      </c>
      <c r="D131" s="77"/>
      <c r="E131" s="77"/>
      <c r="F131" s="77"/>
      <c r="G131" s="16" t="str">
        <f>VLOOKUP(B131,IF(A131="COMPOSICAO",S!$A:$D,I!$A:$D),3,FALSE)</f>
        <v>CENTO</v>
      </c>
      <c r="H131" s="22">
        <f>0.0193</f>
        <v>1.9300000000000001E-2</v>
      </c>
      <c r="I131" s="17">
        <f>IF(A131="COMPOSICAO",VLOOKUP("TOTAL - "&amp;B131,COMPOSICAO_AUX_1!$A:$J,10,FALSE),VLOOKUP(B131,I!$A:$D,4,FALSE))</f>
        <v>38.39</v>
      </c>
      <c r="J131" s="80">
        <f t="shared" si="3"/>
        <v>0.74</v>
      </c>
      <c r="K131" s="81"/>
      <c r="L131" s="3"/>
      <c r="M131" s="3"/>
      <c r="N131" s="3"/>
    </row>
    <row r="132" spans="1:14" ht="75" customHeight="1" x14ac:dyDescent="0.25">
      <c r="A132" s="16" t="s">
        <v>302</v>
      </c>
      <c r="B132" s="20">
        <v>87292</v>
      </c>
      <c r="C132" s="77" t="str">
        <f>VLOOKUP(B132,IF(A132="COMPOSICAO",S!$A:$D,I!$A:$D),2,FALSE)</f>
        <v>ARGAMASSA TRAÇO 1:2:8 (EM VOLUME DE CIMENTO, CAL E AREIA MÉDIA ÚMIDA) PARA EMBOÇO/MASSA ÚNICA/ASSENTAMENTO DE ALVENARIA DE VEDAÇÃO, PREPARO MECÂNICO COM BETONEIRA 400 L. AF_08/2019</v>
      </c>
      <c r="D132" s="77"/>
      <c r="E132" s="77"/>
      <c r="F132" s="77"/>
      <c r="G132" s="16" t="str">
        <f>VLOOKUP(B132,IF(A132="COMPOSICAO",S!$A:$D,I!$A:$D),3,FALSE)</f>
        <v>M3</v>
      </c>
      <c r="H132" s="22">
        <f>0.0135</f>
        <v>1.35E-2</v>
      </c>
      <c r="I132" s="17">
        <f>IF(A132="COMPOSICAO",VLOOKUP("TOTAL - "&amp;B132,COMPOSICAO_AUX_1!$A:$J,10,FALSE),VLOOKUP(B132,I!$A:$D,4,FALSE))</f>
        <v>469.65000000000003</v>
      </c>
      <c r="J132" s="80">
        <f t="shared" si="3"/>
        <v>6.34</v>
      </c>
      <c r="K132" s="81"/>
      <c r="L132" s="3"/>
      <c r="M132" s="3"/>
      <c r="N132" s="3"/>
    </row>
    <row r="133" spans="1:14" ht="15" customHeight="1" x14ac:dyDescent="0.25">
      <c r="A133" s="16" t="s">
        <v>302</v>
      </c>
      <c r="B133" s="20">
        <v>88309</v>
      </c>
      <c r="C133" s="77" t="str">
        <f>VLOOKUP(B133,IF(A133="COMPOSICAO",S!$A:$D,I!$A:$D),2,FALSE)</f>
        <v>PEDREIRO COM ENCARGOS COMPLEMENTARES</v>
      </c>
      <c r="D133" s="77"/>
      <c r="E133" s="77"/>
      <c r="F133" s="77"/>
      <c r="G133" s="16" t="str">
        <f>VLOOKUP(B133,IF(A133="COMPOSICAO",S!$A:$D,I!$A:$D),3,FALSE)</f>
        <v>H</v>
      </c>
      <c r="H133" s="22">
        <f>2.723</f>
        <v>2.7229999999999999</v>
      </c>
      <c r="I133" s="17">
        <f>IF(A133="COMPOSICAO",VLOOKUP("TOTAL - "&amp;B133,COMPOSICAO_AUX_1!$A:$J,10,FALSE),VLOOKUP(B133,I!$A:$D,4,FALSE))</f>
        <v>19.849999999999994</v>
      </c>
      <c r="J133" s="80">
        <f t="shared" si="3"/>
        <v>54.05</v>
      </c>
      <c r="K133" s="81"/>
      <c r="L133" s="3"/>
      <c r="M133" s="3"/>
      <c r="N133" s="3"/>
    </row>
    <row r="134" spans="1:14" ht="15" customHeight="1" x14ac:dyDescent="0.25">
      <c r="A134" s="16" t="s">
        <v>302</v>
      </c>
      <c r="B134" s="20">
        <v>88316</v>
      </c>
      <c r="C134" s="77" t="str">
        <f>VLOOKUP(B134,IF(A134="COMPOSICAO",S!$A:$D,I!$A:$D),2,FALSE)</f>
        <v>SERVENTE COM ENCARGOS COMPLEMENTARES</v>
      </c>
      <c r="D134" s="77"/>
      <c r="E134" s="77"/>
      <c r="F134" s="77"/>
      <c r="G134" s="16" t="str">
        <f>VLOOKUP(B134,IF(A134="COMPOSICAO",S!$A:$D,I!$A:$D),3,FALSE)</f>
        <v>H</v>
      </c>
      <c r="H134" s="22">
        <f>1.362</f>
        <v>1.3620000000000001</v>
      </c>
      <c r="I134" s="17">
        <f>IF(A134="COMPOSICAO",VLOOKUP("TOTAL - "&amp;B134,COMPOSICAO_AUX_1!$A:$J,10,FALSE),VLOOKUP(B134,I!$A:$D,4,FALSE))</f>
        <v>15.35</v>
      </c>
      <c r="J134" s="80">
        <f t="shared" si="3"/>
        <v>20.9</v>
      </c>
      <c r="K134" s="81"/>
      <c r="L134" s="3"/>
      <c r="M134" s="3"/>
      <c r="N134" s="3"/>
    </row>
    <row r="135" spans="1:14" ht="15" customHeight="1" x14ac:dyDescent="0.25">
      <c r="A135" s="23" t="s">
        <v>303</v>
      </c>
      <c r="B135" s="24"/>
      <c r="C135" s="24"/>
      <c r="D135" s="24"/>
      <c r="E135" s="24"/>
      <c r="F135" s="24"/>
      <c r="G135" s="25"/>
      <c r="H135" s="26"/>
      <c r="I135" s="27"/>
      <c r="J135" s="80">
        <f>SUM(J128:K134)</f>
        <v>124.41</v>
      </c>
      <c r="K135" s="81"/>
    </row>
    <row r="136" spans="1:14" ht="15" customHeight="1" x14ac:dyDescent="0.25">
      <c r="A136" s="23" t="str">
        <f>"TAXA DE BDI ("&amp;BDI&amp;" %)"</f>
        <v>TAXA DE BDI (20,8 %)</v>
      </c>
      <c r="B136" s="24"/>
      <c r="C136" s="24"/>
      <c r="D136" s="24"/>
      <c r="E136" s="24"/>
      <c r="F136" s="24"/>
      <c r="G136" s="25"/>
      <c r="H136" s="26"/>
      <c r="I136" s="27"/>
      <c r="J136" s="80">
        <f>ROUND(J135*(BDI/100),2)</f>
        <v>25.88</v>
      </c>
      <c r="K136" s="81"/>
    </row>
    <row r="137" spans="1:14" ht="15" customHeight="1" x14ac:dyDescent="0.25">
      <c r="A137" s="23" t="s">
        <v>361</v>
      </c>
      <c r="B137" s="24"/>
      <c r="C137" s="24"/>
      <c r="D137" s="24"/>
      <c r="E137" s="24"/>
      <c r="F137" s="24"/>
      <c r="G137" s="25"/>
      <c r="H137" s="26"/>
      <c r="I137" s="27"/>
      <c r="J137" s="80">
        <f>SUM(J135:K136)</f>
        <v>150.29</v>
      </c>
      <c r="K137" s="81"/>
    </row>
    <row r="138" spans="1:14" ht="15" customHeight="1" x14ac:dyDescent="0.25">
      <c r="A138" s="3"/>
      <c r="B138" s="3"/>
      <c r="C138" s="3"/>
      <c r="D138" s="3"/>
      <c r="E138" s="3"/>
      <c r="F138" s="3"/>
      <c r="G138" s="3"/>
      <c r="H138" s="3"/>
      <c r="I138" s="3"/>
      <c r="J138" s="3"/>
      <c r="K138" s="3"/>
    </row>
    <row r="139" spans="1:14" ht="15" customHeight="1" x14ac:dyDescent="0.25">
      <c r="A139" s="10" t="s">
        <v>295</v>
      </c>
      <c r="B139" s="10" t="s">
        <v>31</v>
      </c>
      <c r="C139" s="82" t="s">
        <v>7</v>
      </c>
      <c r="D139" s="83"/>
      <c r="E139" s="83"/>
      <c r="F139" s="83"/>
      <c r="G139" s="6" t="s">
        <v>32</v>
      </c>
      <c r="H139" s="6" t="s">
        <v>296</v>
      </c>
      <c r="I139" s="6" t="s">
        <v>297</v>
      </c>
      <c r="J139" s="57" t="s">
        <v>9</v>
      </c>
      <c r="K139" s="58"/>
    </row>
    <row r="140" spans="1:14" ht="30" customHeight="1" x14ac:dyDescent="0.25">
      <c r="A140" s="6" t="s">
        <v>351</v>
      </c>
      <c r="B140" s="28">
        <v>94319</v>
      </c>
      <c r="C140" s="91" t="str">
        <f>VLOOKUP(B140,S!$A:$D,2,FALSE)</f>
        <v>ATERRO MANUAL DE VALAS COM SOLO ARGILO-ARENOSO E COMPACTAÇÃO MECANIZADA. AF_05/2016</v>
      </c>
      <c r="D140" s="91"/>
      <c r="E140" s="91"/>
      <c r="F140" s="92"/>
      <c r="G140" s="6" t="str">
        <f>VLOOKUP(B140,S!$A:$D,3,FALSE)</f>
        <v>M3</v>
      </c>
      <c r="H140" s="21"/>
      <c r="I140" s="21">
        <f>J147</f>
        <v>40.11</v>
      </c>
      <c r="J140" s="76"/>
      <c r="K140" s="72"/>
      <c r="L140" s="21">
        <f>VLOOKUP(B140,S!$A:$D,4,FALSE)</f>
        <v>40.11</v>
      </c>
      <c r="M140" s="6" t="str">
        <f>IF(ROUND((L140-I140),2)=0,"OK, confere com a tabela.",IF(ROUND((L140-I140),2)&lt;0,"ACIMA ("&amp;TEXT(ROUND(I140*100/L140,4),"0,0000")&amp;" %) da tabela.","ABAIXO ("&amp;TEXT(ROUND(I140*100/L140,4),"0,0000")&amp;" %) da tabela."))</f>
        <v>OK, confere com a tabela.</v>
      </c>
    </row>
    <row r="141" spans="1:14" ht="30" customHeight="1" x14ac:dyDescent="0.25">
      <c r="A141" s="16" t="s">
        <v>306</v>
      </c>
      <c r="B141" s="20">
        <v>6079</v>
      </c>
      <c r="C141" s="77" t="str">
        <f>VLOOKUP(B141,IF(A141="COMPOSICAO",S!$A:$D,I!$A:$D),2,FALSE)</f>
        <v>ARGILA, ARGILA VERMELHA OU ARGILA ARENOSA (RETIRADA NA JAZIDA, SEM TRANSPORTE)</v>
      </c>
      <c r="D141" s="77"/>
      <c r="E141" s="77"/>
      <c r="F141" s="77"/>
      <c r="G141" s="16" t="str">
        <f>VLOOKUP(B141,IF(A141="COMPOSICAO",S!$A:$D,I!$A:$D),3,FALSE)</f>
        <v>M3</v>
      </c>
      <c r="H141" s="22">
        <f>1.25</f>
        <v>1.25</v>
      </c>
      <c r="I141" s="17">
        <f>IF(A141="COMPOSICAO",VLOOKUP("TOTAL - "&amp;B141,COMPOSICAO_AUX_1!$A:$J,10,FALSE),VLOOKUP(B141,I!$A:$D,4,FALSE))</f>
        <v>10.4</v>
      </c>
      <c r="J141" s="80">
        <f t="shared" ref="J141:J146" si="4">TRUNC(H141*I141,2)</f>
        <v>13</v>
      </c>
      <c r="K141" s="81"/>
      <c r="L141" s="3"/>
      <c r="M141" s="3"/>
      <c r="N141" s="3"/>
    </row>
    <row r="142" spans="1:14" ht="75" customHeight="1" x14ac:dyDescent="0.25">
      <c r="A142" s="16" t="s">
        <v>302</v>
      </c>
      <c r="B142" s="20">
        <v>5901</v>
      </c>
      <c r="C142" s="77" t="str">
        <f>VLOOKUP(B142,IF(A142="COMPOSICAO",S!$A:$D,I!$A:$D),2,FALSE)</f>
        <v>CAMINHÃO PIPA 10.000 L TRUCADO, PESO BRUTO TOTAL 23.000 KG, CARGA ÚTIL MÁXIMA 15.935 KG, DISTÂNCIA ENTRE EIXOS 4,8 M, POTÊNCIA 230 CV, INCLUSIVE TANQUE DE AÇO PARA TRANSPORTE DE ÁGUA - CHP DIURNO. AF_06/2014</v>
      </c>
      <c r="D142" s="77"/>
      <c r="E142" s="77"/>
      <c r="F142" s="77"/>
      <c r="G142" s="16" t="str">
        <f>VLOOKUP(B142,IF(A142="COMPOSICAO",S!$A:$D,I!$A:$D),3,FALSE)</f>
        <v>CHP</v>
      </c>
      <c r="H142" s="22">
        <f>0.006</f>
        <v>6.0000000000000001E-3</v>
      </c>
      <c r="I142" s="17">
        <f>IF(A142="COMPOSICAO",VLOOKUP("TOTAL - "&amp;B142,COMPOSICAO_AUX_1!$A:$J,10,FALSE),VLOOKUP(B142,I!$A:$D,4,FALSE))</f>
        <v>224.56000000000003</v>
      </c>
      <c r="J142" s="80">
        <f t="shared" si="4"/>
        <v>1.34</v>
      </c>
      <c r="K142" s="81"/>
      <c r="L142" s="3"/>
      <c r="M142" s="3"/>
      <c r="N142" s="3"/>
    </row>
    <row r="143" spans="1:14" ht="75" customHeight="1" x14ac:dyDescent="0.25">
      <c r="A143" s="16" t="s">
        <v>302</v>
      </c>
      <c r="B143" s="20">
        <v>5903</v>
      </c>
      <c r="C143" s="77" t="str">
        <f>VLOOKUP(B143,IF(A143="COMPOSICAO",S!$A:$D,I!$A:$D),2,FALSE)</f>
        <v>CAMINHÃO PIPA 10.000 L TRUCADO, PESO BRUTO TOTAL 23.000 KG, CARGA ÚTIL MÁXIMA 15.935 KG, DISTÂNCIA ENTRE EIXOS 4,8 M, POTÊNCIA 230 CV, INCLUSIVE TANQUE DE AÇO PARA TRANSPORTE DE ÁGUA - CHI DIURNO. AF_06/2014</v>
      </c>
      <c r="D143" s="77"/>
      <c r="E143" s="77"/>
      <c r="F143" s="77"/>
      <c r="G143" s="16" t="str">
        <f>VLOOKUP(B143,IF(A143="COMPOSICAO",S!$A:$D,I!$A:$D),3,FALSE)</f>
        <v>CHI</v>
      </c>
      <c r="H143" s="22">
        <f>0.003</f>
        <v>3.0000000000000001E-3</v>
      </c>
      <c r="I143" s="17">
        <f>IF(A143="COMPOSICAO",VLOOKUP("TOTAL - "&amp;B143,COMPOSICAO_AUX_1!$A:$J,10,FALSE),VLOOKUP(B143,I!$A:$D,4,FALSE))</f>
        <v>43.18</v>
      </c>
      <c r="J143" s="80">
        <f t="shared" si="4"/>
        <v>0.12</v>
      </c>
      <c r="K143" s="81"/>
      <c r="L143" s="3"/>
      <c r="M143" s="3"/>
      <c r="N143" s="3"/>
    </row>
    <row r="144" spans="1:14" ht="15" customHeight="1" x14ac:dyDescent="0.25">
      <c r="A144" s="16" t="s">
        <v>302</v>
      </c>
      <c r="B144" s="20">
        <v>88316</v>
      </c>
      <c r="C144" s="77" t="str">
        <f>VLOOKUP(B144,IF(A144="COMPOSICAO",S!$A:$D,I!$A:$D),2,FALSE)</f>
        <v>SERVENTE COM ENCARGOS COMPLEMENTARES</v>
      </c>
      <c r="D144" s="77"/>
      <c r="E144" s="77"/>
      <c r="F144" s="77"/>
      <c r="G144" s="16" t="str">
        <f>VLOOKUP(B144,IF(A144="COMPOSICAO",S!$A:$D,I!$A:$D),3,FALSE)</f>
        <v>H</v>
      </c>
      <c r="H144" s="22">
        <f>0.659</f>
        <v>0.65900000000000003</v>
      </c>
      <c r="I144" s="17">
        <f>IF(A144="COMPOSICAO",VLOOKUP("TOTAL - "&amp;B144,COMPOSICAO_AUX_1!$A:$J,10,FALSE),VLOOKUP(B144,I!$A:$D,4,FALSE))</f>
        <v>15.35</v>
      </c>
      <c r="J144" s="80">
        <f t="shared" si="4"/>
        <v>10.11</v>
      </c>
      <c r="K144" s="81"/>
      <c r="L144" s="3"/>
      <c r="M144" s="3"/>
      <c r="N144" s="3"/>
    </row>
    <row r="145" spans="1:14" ht="45" customHeight="1" x14ac:dyDescent="0.25">
      <c r="A145" s="16" t="s">
        <v>302</v>
      </c>
      <c r="B145" s="20">
        <v>91533</v>
      </c>
      <c r="C145" s="77" t="str">
        <f>VLOOKUP(B145,IF(A145="COMPOSICAO",S!$A:$D,I!$A:$D),2,FALSE)</f>
        <v>COMPACTADOR DE SOLOS DE PERCUSSÃO (SOQUETE) COM MOTOR A GASOLINA 4 TEMPOS, POTÊNCIA 4 CV - CHP DIURNO. AF_08/2015</v>
      </c>
      <c r="D145" s="77"/>
      <c r="E145" s="77"/>
      <c r="F145" s="77"/>
      <c r="G145" s="16" t="str">
        <f>VLOOKUP(B145,IF(A145="COMPOSICAO",S!$A:$D,I!$A:$D),3,FALSE)</f>
        <v>CHP</v>
      </c>
      <c r="H145" s="22">
        <f>0.274</f>
        <v>0.27400000000000002</v>
      </c>
      <c r="I145" s="17">
        <f>IF(A145="COMPOSICAO",VLOOKUP("TOTAL - "&amp;B145,COMPOSICAO_AUX_1!$A:$J,10,FALSE),VLOOKUP(B145,I!$A:$D,4,FALSE))</f>
        <v>32.82</v>
      </c>
      <c r="J145" s="80">
        <f t="shared" si="4"/>
        <v>8.99</v>
      </c>
      <c r="K145" s="81"/>
      <c r="L145" s="3"/>
      <c r="M145" s="3"/>
      <c r="N145" s="3"/>
    </row>
    <row r="146" spans="1:14" ht="45" customHeight="1" x14ac:dyDescent="0.25">
      <c r="A146" s="16" t="s">
        <v>302</v>
      </c>
      <c r="B146" s="20">
        <v>91534</v>
      </c>
      <c r="C146" s="77" t="str">
        <f>VLOOKUP(B146,IF(A146="COMPOSICAO",S!$A:$D,I!$A:$D),2,FALSE)</f>
        <v>COMPACTADOR DE SOLOS DE PERCUSSÃO (SOQUETE) COM MOTOR A GASOLINA 4 TEMPOS, POTÊNCIA 4 CV - CHI DIURNO. AF_08/2015</v>
      </c>
      <c r="D146" s="77"/>
      <c r="E146" s="77"/>
      <c r="F146" s="77"/>
      <c r="G146" s="16" t="str">
        <f>VLOOKUP(B146,IF(A146="COMPOSICAO",S!$A:$D,I!$A:$D),3,FALSE)</f>
        <v>CHI</v>
      </c>
      <c r="H146" s="22">
        <f>0.254</f>
        <v>0.254</v>
      </c>
      <c r="I146" s="17">
        <f>IF(A146="COMPOSICAO",VLOOKUP("TOTAL - "&amp;B146,COMPOSICAO_AUX_1!$A:$J,10,FALSE),VLOOKUP(B146,I!$A:$D,4,FALSE))</f>
        <v>25.8</v>
      </c>
      <c r="J146" s="80">
        <f t="shared" si="4"/>
        <v>6.55</v>
      </c>
      <c r="K146" s="81"/>
      <c r="L146" s="3"/>
      <c r="M146" s="3"/>
      <c r="N146" s="3"/>
    </row>
    <row r="147" spans="1:14" ht="15" customHeight="1" x14ac:dyDescent="0.25">
      <c r="A147" s="23" t="s">
        <v>303</v>
      </c>
      <c r="B147" s="24"/>
      <c r="C147" s="24"/>
      <c r="D147" s="24"/>
      <c r="E147" s="24"/>
      <c r="F147" s="24"/>
      <c r="G147" s="25"/>
      <c r="H147" s="26"/>
      <c r="I147" s="27"/>
      <c r="J147" s="80">
        <f>SUM(J140:K146)</f>
        <v>40.11</v>
      </c>
      <c r="K147" s="81"/>
    </row>
    <row r="148" spans="1:14" ht="15" customHeight="1" x14ac:dyDescent="0.25">
      <c r="A148" s="23" t="str">
        <f>"TAXA DE BDI ("&amp;BDI&amp;" %)"</f>
        <v>TAXA DE BDI (20,8 %)</v>
      </c>
      <c r="B148" s="24"/>
      <c r="C148" s="24"/>
      <c r="D148" s="24"/>
      <c r="E148" s="24"/>
      <c r="F148" s="24"/>
      <c r="G148" s="25"/>
      <c r="H148" s="26"/>
      <c r="I148" s="27"/>
      <c r="J148" s="80">
        <f>ROUND(J147*(BDI/100),2)</f>
        <v>8.34</v>
      </c>
      <c r="K148" s="81"/>
    </row>
    <row r="149" spans="1:14" ht="15" customHeight="1" x14ac:dyDescent="0.25">
      <c r="A149" s="23" t="s">
        <v>362</v>
      </c>
      <c r="B149" s="24"/>
      <c r="C149" s="24"/>
      <c r="D149" s="24"/>
      <c r="E149" s="24"/>
      <c r="F149" s="24"/>
      <c r="G149" s="25"/>
      <c r="H149" s="26"/>
      <c r="I149" s="27"/>
      <c r="J149" s="80">
        <f>SUM(J147:K148)</f>
        <v>48.45</v>
      </c>
      <c r="K149" s="81"/>
    </row>
    <row r="150" spans="1:14" ht="15" customHeight="1" x14ac:dyDescent="0.25">
      <c r="A150" s="3"/>
      <c r="B150" s="3"/>
      <c r="C150" s="3"/>
      <c r="D150" s="3"/>
      <c r="E150" s="3"/>
      <c r="F150" s="3"/>
      <c r="G150" s="3"/>
      <c r="H150" s="3"/>
      <c r="I150" s="3"/>
      <c r="J150" s="3"/>
      <c r="K150" s="3"/>
    </row>
    <row r="151" spans="1:14" ht="15" customHeight="1" x14ac:dyDescent="0.25">
      <c r="A151" s="10" t="s">
        <v>295</v>
      </c>
      <c r="B151" s="10" t="s">
        <v>31</v>
      </c>
      <c r="C151" s="82" t="s">
        <v>7</v>
      </c>
      <c r="D151" s="83"/>
      <c r="E151" s="83"/>
      <c r="F151" s="83"/>
      <c r="G151" s="6" t="s">
        <v>32</v>
      </c>
      <c r="H151" s="6" t="s">
        <v>296</v>
      </c>
      <c r="I151" s="6" t="s">
        <v>297</v>
      </c>
      <c r="J151" s="57" t="s">
        <v>9</v>
      </c>
      <c r="K151" s="58"/>
    </row>
    <row r="152" spans="1:14" ht="60" customHeight="1" x14ac:dyDescent="0.25">
      <c r="A152" s="6" t="s">
        <v>363</v>
      </c>
      <c r="B152" s="28">
        <v>95952</v>
      </c>
      <c r="C152" s="91" t="str">
        <f>VLOOKUP(B152,S!$A:$D,2,FALSE)</f>
        <v>(COMPOSIÇÃO REPRESENTATIVA) EXECUÇÃO DE ESTRUTURAS DE CONCRETO ARMADO CONVENCIONAL, PARA EDIFICAÇÃO HABITACIONAL MULTIFAMILIAR (PRÉDIO), FCK = 25 MPA. AF_01/2017</v>
      </c>
      <c r="D152" s="91"/>
      <c r="E152" s="91"/>
      <c r="F152" s="92"/>
      <c r="G152" s="6" t="str">
        <f>VLOOKUP(B152,S!$A:$D,3,FALSE)</f>
        <v>M3</v>
      </c>
      <c r="H152" s="21"/>
      <c r="I152" s="21">
        <f>J179</f>
        <v>1937.8099999999997</v>
      </c>
      <c r="J152" s="76"/>
      <c r="K152" s="72"/>
      <c r="L152" s="21">
        <f>VLOOKUP(B152,S!$A:$D,4,FALSE)</f>
        <v>1937.81</v>
      </c>
      <c r="M152" s="6" t="str">
        <f>IF(ROUND((L152-I152),2)=0,"OK, confere com a tabela.",IF(ROUND((L152-I152),2)&lt;0,"ACIMA ("&amp;TEXT(ROUND(I152*100/L152,4),"0,0000")&amp;" %) da tabela.","ABAIXO ("&amp;TEXT(ROUND(I152*100/L152,4),"0,0000")&amp;" %) da tabela."))</f>
        <v>OK, confere com a tabela.</v>
      </c>
    </row>
    <row r="153" spans="1:14" ht="45" customHeight="1" x14ac:dyDescent="0.25">
      <c r="A153" s="16" t="s">
        <v>306</v>
      </c>
      <c r="B153" s="20">
        <v>1527</v>
      </c>
      <c r="C153" s="77" t="str">
        <f>VLOOKUP(B153,IF(A153="COMPOSICAO",S!$A:$D,I!$A:$D),2,FALSE)</f>
        <v>CONCRETO USINADO BOMBEAVEL, CLASSE DE RESISTENCIA C25, COM BRITA 0 E 1, SLUMP = 100 +/- 20 MM, INCLUI SERVICO DE BOMBEAMENTO (NBR 8953)</v>
      </c>
      <c r="D153" s="77"/>
      <c r="E153" s="77"/>
      <c r="F153" s="77"/>
      <c r="G153" s="16" t="str">
        <f>VLOOKUP(B153,IF(A153="COMPOSICAO",S!$A:$D,I!$A:$D),3,FALSE)</f>
        <v>M3</v>
      </c>
      <c r="H153" s="22">
        <f>1.103</f>
        <v>1.103</v>
      </c>
      <c r="I153" s="17">
        <f>IF(A153="COMPOSICAO",VLOOKUP("TOTAL - "&amp;B153,COMPOSICAO_AUX_1!$A:$J,10,FALSE),VLOOKUP(B153,I!$A:$D,4,FALSE))</f>
        <v>412.13</v>
      </c>
      <c r="J153" s="80">
        <f t="shared" ref="J153:J178" si="5">TRUNC(H153*I153,2)</f>
        <v>454.57</v>
      </c>
      <c r="K153" s="81"/>
      <c r="L153" s="3"/>
      <c r="M153" s="3"/>
      <c r="N153" s="3"/>
    </row>
    <row r="154" spans="1:14" ht="60" customHeight="1" x14ac:dyDescent="0.25">
      <c r="A154" s="16" t="s">
        <v>302</v>
      </c>
      <c r="B154" s="20">
        <v>92415</v>
      </c>
      <c r="C154" s="77" t="str">
        <f>VLOOKUP(B154,IF(A154="COMPOSICAO",S!$A:$D,I!$A:$D),2,FALSE)</f>
        <v>MONTAGEM E DESMONTAGEM DE FÔRMA DE PILARES RETANGULARES E ESTRUTURAS SIMILARES, PÉ-DIREITO SIMPLES, EM CHAPA DE MADEIRA COMPENSADA RESINADA, 2 UTILIZAÇÕES. AF_09/2020</v>
      </c>
      <c r="D154" s="77"/>
      <c r="E154" s="77"/>
      <c r="F154" s="77"/>
      <c r="G154" s="16" t="str">
        <f>VLOOKUP(B154,IF(A154="COMPOSICAO",S!$A:$D,I!$A:$D),3,FALSE)</f>
        <v>M2</v>
      </c>
      <c r="H154" s="22">
        <f>0.84</f>
        <v>0.84</v>
      </c>
      <c r="I154" s="17">
        <f>IF(A154="COMPOSICAO",VLOOKUP("TOTAL - "&amp;B154,COMPOSICAO_AUX_1!$A:$J,10,FALSE),VLOOKUP(B154,I!$A:$D,4,FALSE))</f>
        <v>94.72999999999999</v>
      </c>
      <c r="J154" s="80">
        <f t="shared" si="5"/>
        <v>79.569999999999993</v>
      </c>
      <c r="K154" s="81"/>
      <c r="L154" s="3"/>
      <c r="M154" s="3"/>
      <c r="N154" s="3"/>
    </row>
    <row r="155" spans="1:14" ht="60" customHeight="1" x14ac:dyDescent="0.25">
      <c r="A155" s="16" t="s">
        <v>302</v>
      </c>
      <c r="B155" s="20">
        <v>92427</v>
      </c>
      <c r="C155" s="77" t="str">
        <f>VLOOKUP(B155,IF(A155="COMPOSICAO",S!$A:$D,I!$A:$D),2,FALSE)</f>
        <v>MONTAGEM E DESMONTAGEM DE FÔRMA DE PILARES RETANGULARES E ESTRUTURAS SIMILARES, PÉ-DIREITO SIMPLES, EM CHAPA DE MADEIRA COMPENSADA RESINADA, 8 UTILIZAÇÕES. AF_09/2020</v>
      </c>
      <c r="D155" s="77"/>
      <c r="E155" s="77"/>
      <c r="F155" s="77"/>
      <c r="G155" s="16" t="str">
        <f>VLOOKUP(B155,IF(A155="COMPOSICAO",S!$A:$D,I!$A:$D),3,FALSE)</f>
        <v>M2</v>
      </c>
      <c r="H155" s="22">
        <f>2.74</f>
        <v>2.74</v>
      </c>
      <c r="I155" s="17">
        <f>IF(A155="COMPOSICAO",VLOOKUP("TOTAL - "&amp;B155,COMPOSICAO_AUX_1!$A:$J,10,FALSE),VLOOKUP(B155,I!$A:$D,4,FALSE))</f>
        <v>39.480000000000004</v>
      </c>
      <c r="J155" s="80">
        <f t="shared" si="5"/>
        <v>108.17</v>
      </c>
      <c r="K155" s="81"/>
      <c r="L155" s="3"/>
      <c r="M155" s="3"/>
      <c r="N155" s="3"/>
    </row>
    <row r="156" spans="1:14" ht="60" customHeight="1" x14ac:dyDescent="0.25">
      <c r="A156" s="16" t="s">
        <v>302</v>
      </c>
      <c r="B156" s="20">
        <v>92451</v>
      </c>
      <c r="C156" s="77" t="str">
        <f>VLOOKUP(B156,IF(A156="COMPOSICAO",S!$A:$D,I!$A:$D),2,FALSE)</f>
        <v>MONTAGEM E DESMONTAGEM DE FÔRMA DE VIGA, ESCORAMENTO COM GARFO DE MADEIRA, PÉ-DIREITO SIMPLES, EM CHAPA DE MADEIRA RESINADA, 2 UTILIZAÇÕES. AF_09/2020</v>
      </c>
      <c r="D156" s="77"/>
      <c r="E156" s="77"/>
      <c r="F156" s="77"/>
      <c r="G156" s="16" t="str">
        <f>VLOOKUP(B156,IF(A156="COMPOSICAO",S!$A:$D,I!$A:$D),3,FALSE)</f>
        <v>M2</v>
      </c>
      <c r="H156" s="22">
        <f>0.57</f>
        <v>0.56999999999999995</v>
      </c>
      <c r="I156" s="17">
        <f>IF(A156="COMPOSICAO",VLOOKUP("TOTAL - "&amp;B156,COMPOSICAO_AUX_1!$A:$J,10,FALSE),VLOOKUP(B156,I!$A:$D,4,FALSE))</f>
        <v>140.72</v>
      </c>
      <c r="J156" s="80">
        <f t="shared" si="5"/>
        <v>80.209999999999994</v>
      </c>
      <c r="K156" s="81"/>
      <c r="L156" s="3"/>
      <c r="M156" s="3"/>
      <c r="N156" s="3"/>
    </row>
    <row r="157" spans="1:14" ht="60" customHeight="1" x14ac:dyDescent="0.25">
      <c r="A157" s="16" t="s">
        <v>302</v>
      </c>
      <c r="B157" s="20">
        <v>92463</v>
      </c>
      <c r="C157" s="77" t="str">
        <f>VLOOKUP(B157,IF(A157="COMPOSICAO",S!$A:$D,I!$A:$D),2,FALSE)</f>
        <v>MONTAGEM E DESMONTAGEM DE FÔRMA DE VIGA, ESCORAMENTO COM GARFO DE MADEIRA, PÉ-DIREITO SIMPLES, EM CHAPA DE MADEIRA RESINADA, 8 UTILIZAÇÕES. AF_09/2020</v>
      </c>
      <c r="D157" s="77"/>
      <c r="E157" s="77"/>
      <c r="F157" s="77"/>
      <c r="G157" s="16" t="str">
        <f>VLOOKUP(B157,IF(A157="COMPOSICAO",S!$A:$D,I!$A:$D),3,FALSE)</f>
        <v>M2</v>
      </c>
      <c r="H157" s="22">
        <f>1.87</f>
        <v>1.87</v>
      </c>
      <c r="I157" s="17">
        <f>IF(A157="COMPOSICAO",VLOOKUP("TOTAL - "&amp;B157,COMPOSICAO_AUX_1!$A:$J,10,FALSE),VLOOKUP(B157,I!$A:$D,4,FALSE))</f>
        <v>89.860000000000014</v>
      </c>
      <c r="J157" s="80">
        <f t="shared" si="5"/>
        <v>168.03</v>
      </c>
      <c r="K157" s="81"/>
      <c r="L157" s="3"/>
      <c r="M157" s="3"/>
      <c r="N157" s="3"/>
    </row>
    <row r="158" spans="1:14" ht="60" customHeight="1" x14ac:dyDescent="0.25">
      <c r="A158" s="16" t="s">
        <v>302</v>
      </c>
      <c r="B158" s="20">
        <v>92510</v>
      </c>
      <c r="C158" s="77" t="str">
        <f>VLOOKUP(B158,IF(A158="COMPOSICAO",S!$A:$D,I!$A:$D),2,FALSE)</f>
        <v>MONTAGEM E DESMONTAGEM DE FÔRMA DE LAJE MACIÇA, PÉ-DIREITO SIMPLES, EM CHAPA DE MADEIRA COMPENSADA RESINADA, 2 UTILIZAÇÕES. AF_09/2020</v>
      </c>
      <c r="D158" s="77"/>
      <c r="E158" s="77"/>
      <c r="F158" s="77"/>
      <c r="G158" s="16" t="str">
        <f>VLOOKUP(B158,IF(A158="COMPOSICAO",S!$A:$D,I!$A:$D),3,FALSE)</f>
        <v>M2</v>
      </c>
      <c r="H158" s="22">
        <f>0.47</f>
        <v>0.47</v>
      </c>
      <c r="I158" s="17">
        <f>IF(A158="COMPOSICAO",VLOOKUP("TOTAL - "&amp;B158,COMPOSICAO_AUX_1!$A:$J,10,FALSE),VLOOKUP(B158,I!$A:$D,4,FALSE))</f>
        <v>39.99</v>
      </c>
      <c r="J158" s="80">
        <f t="shared" si="5"/>
        <v>18.79</v>
      </c>
      <c r="K158" s="81"/>
      <c r="L158" s="3"/>
      <c r="M158" s="3"/>
      <c r="N158" s="3"/>
    </row>
    <row r="159" spans="1:14" ht="60" customHeight="1" x14ac:dyDescent="0.25">
      <c r="A159" s="16" t="s">
        <v>302</v>
      </c>
      <c r="B159" s="20">
        <v>92522</v>
      </c>
      <c r="C159" s="77" t="str">
        <f>VLOOKUP(B159,IF(A159="COMPOSICAO",S!$A:$D,I!$A:$D),2,FALSE)</f>
        <v>MONTAGEM E DESMONTAGEM DE FÔRMA DE LAJE MACIÇA, PÉ-DIREITO SIMPLES, EM CHAPA DE MADEIRA COMPENSADA RESINADA, 8 UTILIZAÇÕES. AF_09/2020</v>
      </c>
      <c r="D159" s="77"/>
      <c r="E159" s="77"/>
      <c r="F159" s="77"/>
      <c r="G159" s="16" t="str">
        <f>VLOOKUP(B159,IF(A159="COMPOSICAO",S!$A:$D,I!$A:$D),3,FALSE)</f>
        <v>M2</v>
      </c>
      <c r="H159" s="22">
        <f>1.61</f>
        <v>1.61</v>
      </c>
      <c r="I159" s="17">
        <f>IF(A159="COMPOSICAO",VLOOKUP("TOTAL - "&amp;B159,COMPOSICAO_AUX_1!$A:$J,10,FALSE),VLOOKUP(B159,I!$A:$D,4,FALSE))</f>
        <v>20.13</v>
      </c>
      <c r="J159" s="80">
        <f t="shared" si="5"/>
        <v>32.4</v>
      </c>
      <c r="K159" s="81"/>
      <c r="L159" s="3"/>
      <c r="M159" s="3"/>
      <c r="N159" s="3"/>
    </row>
    <row r="160" spans="1:14" ht="60" customHeight="1" x14ac:dyDescent="0.25">
      <c r="A160" s="16" t="s">
        <v>302</v>
      </c>
      <c r="B160" s="20">
        <v>92759</v>
      </c>
      <c r="C160" s="77" t="str">
        <f>VLOOKUP(B160,IF(A160="COMPOSICAO",S!$A:$D,I!$A:$D),2,FALSE)</f>
        <v>ARMAÇÃO DE PILAR OU VIGA DE UMA ESTRUTURA CONVENCIONAL DE CONCRETO ARMADO EM UM EDIFÍCIO DE MÚLTIPLOS PAVIMENTOS UTILIZANDO AÇO CA-60 DE 5,0 MM - MONTAGEM. AF_12/2015</v>
      </c>
      <c r="D160" s="77"/>
      <c r="E160" s="77"/>
      <c r="F160" s="77"/>
      <c r="G160" s="16" t="str">
        <f>VLOOKUP(B160,IF(A160="COMPOSICAO",S!$A:$D,I!$A:$D),3,FALSE)</f>
        <v>KG</v>
      </c>
      <c r="H160" s="22">
        <f>7.13</f>
        <v>7.13</v>
      </c>
      <c r="I160" s="17">
        <f>IF(A160="COMPOSICAO",VLOOKUP("TOTAL - "&amp;B160,COMPOSICAO_AUX_1!$A:$J,10,FALSE),VLOOKUP(B160,I!$A:$D,4,FALSE))</f>
        <v>15.32</v>
      </c>
      <c r="J160" s="80">
        <f t="shared" si="5"/>
        <v>109.23</v>
      </c>
      <c r="K160" s="81"/>
      <c r="L160" s="3"/>
      <c r="M160" s="3"/>
      <c r="N160" s="3"/>
    </row>
    <row r="161" spans="1:14" ht="60" customHeight="1" x14ac:dyDescent="0.25">
      <c r="A161" s="16" t="s">
        <v>302</v>
      </c>
      <c r="B161" s="20">
        <v>92760</v>
      </c>
      <c r="C161" s="77" t="str">
        <f>VLOOKUP(B161,IF(A161="COMPOSICAO",S!$A:$D,I!$A:$D),2,FALSE)</f>
        <v>ARMAÇÃO DE PILAR OU VIGA DE UMA ESTRUTURA CONVENCIONAL DE CONCRETO ARMADO EM UM EDIFÍCIO DE MÚLTIPLOS PAVIMENTOS UTILIZANDO AÇO CA-50 DE 6,3 MM - MONTAGEM. AF_12/2015</v>
      </c>
      <c r="D161" s="77"/>
      <c r="E161" s="77"/>
      <c r="F161" s="77"/>
      <c r="G161" s="16" t="str">
        <f>VLOOKUP(B161,IF(A161="COMPOSICAO",S!$A:$D,I!$A:$D),3,FALSE)</f>
        <v>KG</v>
      </c>
      <c r="H161" s="22">
        <f>5.83</f>
        <v>5.83</v>
      </c>
      <c r="I161" s="17">
        <f>IF(A161="COMPOSICAO",VLOOKUP("TOTAL - "&amp;B161,COMPOSICAO_AUX_1!$A:$J,10,FALSE),VLOOKUP(B161,I!$A:$D,4,FALSE))</f>
        <v>15.010000000000002</v>
      </c>
      <c r="J161" s="80">
        <f t="shared" si="5"/>
        <v>87.5</v>
      </c>
      <c r="K161" s="81"/>
      <c r="L161" s="3"/>
      <c r="M161" s="3"/>
      <c r="N161" s="3"/>
    </row>
    <row r="162" spans="1:14" ht="60" customHeight="1" x14ac:dyDescent="0.25">
      <c r="A162" s="16" t="s">
        <v>302</v>
      </c>
      <c r="B162" s="20">
        <v>92761</v>
      </c>
      <c r="C162" s="77" t="str">
        <f>VLOOKUP(B162,IF(A162="COMPOSICAO",S!$A:$D,I!$A:$D),2,FALSE)</f>
        <v>ARMAÇÃO DE PILAR OU VIGA DE UMA ESTRUTURA CONVENCIONAL DE CONCRETO ARMADO EM UM EDIFÍCIO DE MÚLTIPLOS PAVIMENTOS UTILIZANDO AÇO CA-50 DE 8,0 MM - MONTAGEM. AF_12/2015</v>
      </c>
      <c r="D162" s="77"/>
      <c r="E162" s="77"/>
      <c r="F162" s="77"/>
      <c r="G162" s="16" t="str">
        <f>VLOOKUP(B162,IF(A162="COMPOSICAO",S!$A:$D,I!$A:$D),3,FALSE)</f>
        <v>KG</v>
      </c>
      <c r="H162" s="22">
        <f>0.09</f>
        <v>0.09</v>
      </c>
      <c r="I162" s="17">
        <f>IF(A162="COMPOSICAO",VLOOKUP("TOTAL - "&amp;B162,COMPOSICAO_AUX_1!$A:$J,10,FALSE),VLOOKUP(B162,I!$A:$D,4,FALSE))</f>
        <v>14.49</v>
      </c>
      <c r="J162" s="80">
        <f t="shared" si="5"/>
        <v>1.3</v>
      </c>
      <c r="K162" s="81"/>
      <c r="L162" s="3"/>
      <c r="M162" s="3"/>
      <c r="N162" s="3"/>
    </row>
    <row r="163" spans="1:14" ht="60" customHeight="1" x14ac:dyDescent="0.25">
      <c r="A163" s="16" t="s">
        <v>302</v>
      </c>
      <c r="B163" s="20">
        <v>92762</v>
      </c>
      <c r="C163" s="77" t="str">
        <f>VLOOKUP(B163,IF(A163="COMPOSICAO",S!$A:$D,I!$A:$D),2,FALSE)</f>
        <v>ARMAÇÃO DE PILAR OU VIGA DE UMA ESTRUTURA CONVENCIONAL DE CONCRETO ARMADO EM UM EDIFÍCIO DE MÚLTIPLOS PAVIMENTOS UTILIZANDO AÇO CA-50 DE 10,0 MM - MONTAGEM. AF_12/2015</v>
      </c>
      <c r="D163" s="77"/>
      <c r="E163" s="77"/>
      <c r="F163" s="77"/>
      <c r="G163" s="16" t="str">
        <f>VLOOKUP(B163,IF(A163="COMPOSICAO",S!$A:$D,I!$A:$D),3,FALSE)</f>
        <v>KG</v>
      </c>
      <c r="H163" s="22">
        <f>16.49</f>
        <v>16.489999999999998</v>
      </c>
      <c r="I163" s="17">
        <f>IF(A163="COMPOSICAO",VLOOKUP("TOTAL - "&amp;B163,COMPOSICAO_AUX_1!$A:$J,10,FALSE),VLOOKUP(B163,I!$A:$D,4,FALSE))</f>
        <v>13.16</v>
      </c>
      <c r="J163" s="80">
        <f t="shared" si="5"/>
        <v>217</v>
      </c>
      <c r="K163" s="81"/>
      <c r="L163" s="3"/>
      <c r="M163" s="3"/>
      <c r="N163" s="3"/>
    </row>
    <row r="164" spans="1:14" ht="60" customHeight="1" x14ac:dyDescent="0.25">
      <c r="A164" s="16" t="s">
        <v>302</v>
      </c>
      <c r="B164" s="20">
        <v>92763</v>
      </c>
      <c r="C164" s="77" t="str">
        <f>VLOOKUP(B164,IF(A164="COMPOSICAO",S!$A:$D,I!$A:$D),2,FALSE)</f>
        <v>ARMAÇÃO DE PILAR OU VIGA DE UMA ESTRUTURA CONVENCIONAL DE CONCRETO ARMADO EM UM EDIFÍCIO DE MÚLTIPLOS PAVIMENTOS UTILIZANDO AÇO CA-50 DE 12,5 MM - MONTAGEM. AF_12/2015</v>
      </c>
      <c r="D164" s="77"/>
      <c r="E164" s="77"/>
      <c r="F164" s="77"/>
      <c r="G164" s="16" t="str">
        <f>VLOOKUP(B164,IF(A164="COMPOSICAO",S!$A:$D,I!$A:$D),3,FALSE)</f>
        <v>KG</v>
      </c>
      <c r="H164" s="22">
        <f>10.53</f>
        <v>10.53</v>
      </c>
      <c r="I164" s="17">
        <f>IF(A164="COMPOSICAO",VLOOKUP("TOTAL - "&amp;B164,COMPOSICAO_AUX_1!$A:$J,10,FALSE),VLOOKUP(B164,I!$A:$D,4,FALSE))</f>
        <v>11.21</v>
      </c>
      <c r="J164" s="80">
        <f t="shared" si="5"/>
        <v>118.04</v>
      </c>
      <c r="K164" s="81"/>
      <c r="L164" s="3"/>
      <c r="M164" s="3"/>
      <c r="N164" s="3"/>
    </row>
    <row r="165" spans="1:14" ht="60" customHeight="1" x14ac:dyDescent="0.25">
      <c r="A165" s="16" t="s">
        <v>302</v>
      </c>
      <c r="B165" s="20">
        <v>92764</v>
      </c>
      <c r="C165" s="77" t="str">
        <f>VLOOKUP(B165,IF(A165="COMPOSICAO",S!$A:$D,I!$A:$D),2,FALSE)</f>
        <v>ARMAÇÃO DE PILAR OU VIGA DE UMA ESTRUTURA CONVENCIONAL DE CONCRETO ARMADO EM UM EDIFÍCIO DE MÚLTIPLOS PAVIMENTOS UTILIZANDO AÇO CA-50 DE 16,0 MM - MONTAGEM. AF_12/2015</v>
      </c>
      <c r="D165" s="77"/>
      <c r="E165" s="77"/>
      <c r="F165" s="77"/>
      <c r="G165" s="16" t="str">
        <f>VLOOKUP(B165,IF(A165="COMPOSICAO",S!$A:$D,I!$A:$D),3,FALSE)</f>
        <v>KG</v>
      </c>
      <c r="H165" s="22">
        <f>3.85</f>
        <v>3.85</v>
      </c>
      <c r="I165" s="17">
        <f>IF(A165="COMPOSICAO",VLOOKUP("TOTAL - "&amp;B165,COMPOSICAO_AUX_1!$A:$J,10,FALSE),VLOOKUP(B165,I!$A:$D,4,FALSE))</f>
        <v>10.83</v>
      </c>
      <c r="J165" s="80">
        <f t="shared" si="5"/>
        <v>41.69</v>
      </c>
      <c r="K165" s="81"/>
      <c r="L165" s="3"/>
      <c r="M165" s="3"/>
      <c r="N165" s="3"/>
    </row>
    <row r="166" spans="1:14" ht="60" customHeight="1" x14ac:dyDescent="0.25">
      <c r="A166" s="16" t="s">
        <v>302</v>
      </c>
      <c r="B166" s="20">
        <v>92765</v>
      </c>
      <c r="C166" s="77" t="str">
        <f>VLOOKUP(B166,IF(A166="COMPOSICAO",S!$A:$D,I!$A:$D),2,FALSE)</f>
        <v>ARMAÇÃO DE PILAR OU VIGA DE UMA ESTRUTURA CONVENCIONAL DE CONCRETO ARMADO EM UM EDIFÍCIO DE MÚLTIPLOS PAVIMENTOS UTILIZANDO AÇO CA-50 DE 20,0 MM - MONTAGEM. AF_12/2015</v>
      </c>
      <c r="D166" s="77"/>
      <c r="E166" s="77"/>
      <c r="F166" s="77"/>
      <c r="G166" s="16" t="str">
        <f>VLOOKUP(B166,IF(A166="COMPOSICAO",S!$A:$D,I!$A:$D),3,FALSE)</f>
        <v>KG</v>
      </c>
      <c r="H166" s="22">
        <f>0.43</f>
        <v>0.43</v>
      </c>
      <c r="I166" s="17">
        <f>IF(A166="COMPOSICAO",VLOOKUP("TOTAL - "&amp;B166,COMPOSICAO_AUX_1!$A:$J,10,FALSE),VLOOKUP(B166,I!$A:$D,4,FALSE))</f>
        <v>12.330000000000002</v>
      </c>
      <c r="J166" s="80">
        <f t="shared" si="5"/>
        <v>5.3</v>
      </c>
      <c r="K166" s="81"/>
      <c r="L166" s="3"/>
      <c r="M166" s="3"/>
      <c r="N166" s="3"/>
    </row>
    <row r="167" spans="1:14" ht="60" customHeight="1" x14ac:dyDescent="0.25">
      <c r="A167" s="16" t="s">
        <v>302</v>
      </c>
      <c r="B167" s="20">
        <v>92766</v>
      </c>
      <c r="C167" s="77" t="str">
        <f>VLOOKUP(B167,IF(A167="COMPOSICAO",S!$A:$D,I!$A:$D),2,FALSE)</f>
        <v>ARMAÇÃO DE PILAR OU VIGA DE UMA ESTRUTURA CONVENCIONAL DE CONCRETO ARMADO EM UM EDIFÍCIO DE MÚLTIPLOS PAVIMENTOS UTILIZANDO AÇO CA-50 DE 25,0 MM - MONTAGEM. AF_12/2015</v>
      </c>
      <c r="D167" s="77"/>
      <c r="E167" s="77"/>
      <c r="F167" s="77"/>
      <c r="G167" s="16" t="str">
        <f>VLOOKUP(B167,IF(A167="COMPOSICAO",S!$A:$D,I!$A:$D),3,FALSE)</f>
        <v>KG</v>
      </c>
      <c r="H167" s="22">
        <f>0.82</f>
        <v>0.82</v>
      </c>
      <c r="I167" s="17">
        <f>IF(A167="COMPOSICAO",VLOOKUP("TOTAL - "&amp;B167,COMPOSICAO_AUX_1!$A:$J,10,FALSE),VLOOKUP(B167,I!$A:$D,4,FALSE))</f>
        <v>12.139999999999999</v>
      </c>
      <c r="J167" s="80">
        <f t="shared" si="5"/>
        <v>9.9499999999999993</v>
      </c>
      <c r="K167" s="81"/>
      <c r="L167" s="3"/>
      <c r="M167" s="3"/>
      <c r="N167" s="3"/>
    </row>
    <row r="168" spans="1:14" ht="60" customHeight="1" x14ac:dyDescent="0.25">
      <c r="A168" s="16" t="s">
        <v>302</v>
      </c>
      <c r="B168" s="20">
        <v>92768</v>
      </c>
      <c r="C168" s="77" t="str">
        <f>VLOOKUP(B168,IF(A168="COMPOSICAO",S!$A:$D,I!$A:$D),2,FALSE)</f>
        <v>ARMAÇÃO DE LAJE DE UMA ESTRUTURA CONVENCIONAL DE CONCRETO ARMADO EM UM EDIFÍCIO DE MÚLTIPLOS PAVIMENTOS UTILIZANDO AÇO CA-60 DE 5,0 MM - MONTAGEM. AF_12/2015</v>
      </c>
      <c r="D168" s="77"/>
      <c r="E168" s="77"/>
      <c r="F168" s="77"/>
      <c r="G168" s="16" t="str">
        <f>VLOOKUP(B168,IF(A168="COMPOSICAO",S!$A:$D,I!$A:$D),3,FALSE)</f>
        <v>KG</v>
      </c>
      <c r="H168" s="22">
        <f>0.83</f>
        <v>0.83</v>
      </c>
      <c r="I168" s="17">
        <f>IF(A168="COMPOSICAO",VLOOKUP("TOTAL - "&amp;B168,COMPOSICAO_AUX_1!$A:$J,10,FALSE),VLOOKUP(B168,I!$A:$D,4,FALSE))</f>
        <v>14.25</v>
      </c>
      <c r="J168" s="80">
        <f t="shared" si="5"/>
        <v>11.82</v>
      </c>
      <c r="K168" s="81"/>
      <c r="L168" s="3"/>
      <c r="M168" s="3"/>
      <c r="N168" s="3"/>
    </row>
    <row r="169" spans="1:14" ht="60" customHeight="1" x14ac:dyDescent="0.25">
      <c r="A169" s="16" t="s">
        <v>302</v>
      </c>
      <c r="B169" s="20">
        <v>92769</v>
      </c>
      <c r="C169" s="77" t="str">
        <f>VLOOKUP(B169,IF(A169="COMPOSICAO",S!$A:$D,I!$A:$D),2,FALSE)</f>
        <v>ARMAÇÃO DE LAJE DE UMA ESTRUTURA CONVENCIONAL DE CONCRETO ARMADO EM UM EDIFÍCIO DE MÚLTIPLOS PAVIMENTOS UTILIZANDO AÇO CA-50 DE 6,3 MM - MONTAGEM. AF_12/2015</v>
      </c>
      <c r="D169" s="77"/>
      <c r="E169" s="77"/>
      <c r="F169" s="77"/>
      <c r="G169" s="16" t="str">
        <f>VLOOKUP(B169,IF(A169="COMPOSICAO",S!$A:$D,I!$A:$D),3,FALSE)</f>
        <v>KG</v>
      </c>
      <c r="H169" s="22">
        <f>8.47</f>
        <v>8.4700000000000006</v>
      </c>
      <c r="I169" s="17">
        <f>IF(A169="COMPOSICAO",VLOOKUP("TOTAL - "&amp;B169,COMPOSICAO_AUX_1!$A:$J,10,FALSE),VLOOKUP(B169,I!$A:$D,4,FALSE))</f>
        <v>14.17</v>
      </c>
      <c r="J169" s="80">
        <f t="shared" si="5"/>
        <v>120.01</v>
      </c>
      <c r="K169" s="81"/>
      <c r="L169" s="3"/>
      <c r="M169" s="3"/>
      <c r="N169" s="3"/>
    </row>
    <row r="170" spans="1:14" ht="60" customHeight="1" x14ac:dyDescent="0.25">
      <c r="A170" s="16" t="s">
        <v>302</v>
      </c>
      <c r="B170" s="20">
        <v>92770</v>
      </c>
      <c r="C170" s="77" t="str">
        <f>VLOOKUP(B170,IF(A170="COMPOSICAO",S!$A:$D,I!$A:$D),2,FALSE)</f>
        <v>ARMAÇÃO DE LAJE DE UMA ESTRUTURA CONVENCIONAL DE CONCRETO ARMADO EM UM EDIFÍCIO DE MÚLTIPLOS PAVIMENTOS UTILIZANDO AÇO CA-50 DE 8,0 MM - MONTAGEM. AF_12/2015</v>
      </c>
      <c r="D170" s="77"/>
      <c r="E170" s="77"/>
      <c r="F170" s="77"/>
      <c r="G170" s="16" t="str">
        <f>VLOOKUP(B170,IF(A170="COMPOSICAO",S!$A:$D,I!$A:$D),3,FALSE)</f>
        <v>KG</v>
      </c>
      <c r="H170" s="22">
        <f>10.78</f>
        <v>10.78</v>
      </c>
      <c r="I170" s="17">
        <f>IF(A170="COMPOSICAO",VLOOKUP("TOTAL - "&amp;B170,COMPOSICAO_AUX_1!$A:$J,10,FALSE),VLOOKUP(B170,I!$A:$D,4,FALSE))</f>
        <v>13.83</v>
      </c>
      <c r="J170" s="80">
        <f t="shared" si="5"/>
        <v>149.08000000000001</v>
      </c>
      <c r="K170" s="81"/>
      <c r="L170" s="3"/>
      <c r="M170" s="3"/>
      <c r="N170" s="3"/>
    </row>
    <row r="171" spans="1:14" ht="45" customHeight="1" x14ac:dyDescent="0.25">
      <c r="A171" s="16" t="s">
        <v>302</v>
      </c>
      <c r="B171" s="20">
        <v>92874</v>
      </c>
      <c r="C171" s="77" t="str">
        <f>VLOOKUP(B171,IF(A171="COMPOSICAO",S!$A:$D,I!$A:$D),2,FALSE)</f>
        <v>LANÇAMENTO COM USO DE BOMBA, ADENSAMENTO E ACABAMENTO DE CONCRETO EM ESTRUTURAS. AF_12/2015</v>
      </c>
      <c r="D171" s="77"/>
      <c r="E171" s="77"/>
      <c r="F171" s="77"/>
      <c r="G171" s="16" t="str">
        <f>VLOOKUP(B171,IF(A171="COMPOSICAO",S!$A:$D,I!$A:$D),3,FALSE)</f>
        <v>M3</v>
      </c>
      <c r="H171" s="22">
        <f>1</f>
        <v>1</v>
      </c>
      <c r="I171" s="17">
        <f>IF(A171="COMPOSICAO",VLOOKUP("TOTAL - "&amp;B171,COMPOSICAO_AUX_1!$A:$J,10,FALSE),VLOOKUP(B171,I!$A:$D,4,FALSE))</f>
        <v>26.31</v>
      </c>
      <c r="J171" s="80">
        <f t="shared" si="5"/>
        <v>26.31</v>
      </c>
      <c r="K171" s="81"/>
      <c r="L171" s="3"/>
      <c r="M171" s="3"/>
      <c r="N171" s="3"/>
    </row>
    <row r="172" spans="1:14" ht="45" customHeight="1" x14ac:dyDescent="0.25">
      <c r="A172" s="16" t="s">
        <v>302</v>
      </c>
      <c r="B172" s="20">
        <v>95944</v>
      </c>
      <c r="C172" s="77" t="str">
        <f>VLOOKUP(B172,IF(A172="COMPOSICAO",S!$A:$D,I!$A:$D),2,FALSE)</f>
        <v>ARMAÇÃO DE ESCADA, DE UMA ESTRUTURA CONVENCIONAL DE CONCRETO ARMADO UTILIZANDO AÇO CA-50 DE 6,3 MM - MONTAGEM. AF_11/2020</v>
      </c>
      <c r="D172" s="77"/>
      <c r="E172" s="77"/>
      <c r="F172" s="77"/>
      <c r="G172" s="16" t="str">
        <f>VLOOKUP(B172,IF(A172="COMPOSICAO",S!$A:$D,I!$A:$D),3,FALSE)</f>
        <v>KG</v>
      </c>
      <c r="H172" s="22">
        <f>0.51</f>
        <v>0.51</v>
      </c>
      <c r="I172" s="17">
        <f>IF(A172="COMPOSICAO",VLOOKUP("TOTAL - "&amp;B172,COMPOSICAO_AUX_1!$A:$J,10,FALSE),VLOOKUP(B172,I!$A:$D,4,FALSE))</f>
        <v>19.22</v>
      </c>
      <c r="J172" s="80">
        <f t="shared" si="5"/>
        <v>9.8000000000000007</v>
      </c>
      <c r="K172" s="81"/>
      <c r="L172" s="3"/>
      <c r="M172" s="3"/>
      <c r="N172" s="3"/>
    </row>
    <row r="173" spans="1:14" ht="45" customHeight="1" x14ac:dyDescent="0.25">
      <c r="A173" s="16" t="s">
        <v>302</v>
      </c>
      <c r="B173" s="20">
        <v>95945</v>
      </c>
      <c r="C173" s="77" t="str">
        <f>VLOOKUP(B173,IF(A173="COMPOSICAO",S!$A:$D,I!$A:$D),2,FALSE)</f>
        <v>ARMAÇÃO DE ESCADA, DE UMA ESTRUTURA CONVENCIONAL DE CONCRETO ARMADO UTILIZANDO AÇO CA-50 DE 8,0 MM - MONTAGEM. AF_11/2020</v>
      </c>
      <c r="D173" s="77"/>
      <c r="E173" s="77"/>
      <c r="F173" s="77"/>
      <c r="G173" s="16" t="str">
        <f>VLOOKUP(B173,IF(A173="COMPOSICAO",S!$A:$D,I!$A:$D),3,FALSE)</f>
        <v>KG</v>
      </c>
      <c r="H173" s="22">
        <f>0.62</f>
        <v>0.62</v>
      </c>
      <c r="I173" s="17">
        <f>IF(A173="COMPOSICAO",VLOOKUP("TOTAL - "&amp;B173,COMPOSICAO_AUX_1!$A:$J,10,FALSE),VLOOKUP(B173,I!$A:$D,4,FALSE))</f>
        <v>16.630000000000003</v>
      </c>
      <c r="J173" s="80">
        <f t="shared" si="5"/>
        <v>10.31</v>
      </c>
      <c r="K173" s="81"/>
      <c r="L173" s="3"/>
      <c r="M173" s="3"/>
      <c r="N173" s="3"/>
    </row>
    <row r="174" spans="1:14" ht="45" customHeight="1" x14ac:dyDescent="0.25">
      <c r="A174" s="16" t="s">
        <v>302</v>
      </c>
      <c r="B174" s="20">
        <v>96533</v>
      </c>
      <c r="C174" s="77" t="str">
        <f>VLOOKUP(B174,IF(A174="COMPOSICAO",S!$A:$D,I!$A:$D),2,FALSE)</f>
        <v>FABRICAÇÃO, MONTAGEM E DESMONTAGEM DE FÔRMA PARA VIGA BALDRAME, EM MADEIRA SERRADA, E=25 MM, 2 UTILIZAÇÕES. AF_06/2017</v>
      </c>
      <c r="D174" s="77"/>
      <c r="E174" s="77"/>
      <c r="F174" s="77"/>
      <c r="G174" s="16" t="str">
        <f>VLOOKUP(B174,IF(A174="COMPOSICAO",S!$A:$D,I!$A:$D),3,FALSE)</f>
        <v>M2</v>
      </c>
      <c r="H174" s="22">
        <f>0.33</f>
        <v>0.33</v>
      </c>
      <c r="I174" s="17">
        <f>IF(A174="COMPOSICAO",VLOOKUP("TOTAL - "&amp;B174,COMPOSICAO_AUX_1!$A:$J,10,FALSE),VLOOKUP(B174,I!$A:$D,4,FALSE))</f>
        <v>85.38000000000001</v>
      </c>
      <c r="J174" s="80">
        <f t="shared" si="5"/>
        <v>28.17</v>
      </c>
      <c r="K174" s="81"/>
      <c r="L174" s="3"/>
      <c r="M174" s="3"/>
      <c r="N174" s="3"/>
    </row>
    <row r="175" spans="1:14" ht="45" customHeight="1" x14ac:dyDescent="0.25">
      <c r="A175" s="16" t="s">
        <v>302</v>
      </c>
      <c r="B175" s="20">
        <v>96543</v>
      </c>
      <c r="C175" s="77" t="str">
        <f>VLOOKUP(B175,IF(A175="COMPOSICAO",S!$A:$D,I!$A:$D),2,FALSE)</f>
        <v>ARMAÇÃO DE BLOCO, VIGA BALDRAME E SAPATA UTILIZANDO AÇO CA-60 DE 5 MM - MONTAGEM. AF_06/2017</v>
      </c>
      <c r="D175" s="77"/>
      <c r="E175" s="77"/>
      <c r="F175" s="77"/>
      <c r="G175" s="16" t="str">
        <f>VLOOKUP(B175,IF(A175="COMPOSICAO",S!$A:$D,I!$A:$D),3,FALSE)</f>
        <v>KG</v>
      </c>
      <c r="H175" s="22">
        <f>0.23</f>
        <v>0.23</v>
      </c>
      <c r="I175" s="17">
        <f>IF(A175="COMPOSICAO",VLOOKUP("TOTAL - "&amp;B175,COMPOSICAO_AUX_1!$A:$J,10,FALSE),VLOOKUP(B175,I!$A:$D,4,FALSE))</f>
        <v>17.54</v>
      </c>
      <c r="J175" s="80">
        <f t="shared" si="5"/>
        <v>4.03</v>
      </c>
      <c r="K175" s="81"/>
      <c r="L175" s="3"/>
      <c r="M175" s="3"/>
      <c r="N175" s="3"/>
    </row>
    <row r="176" spans="1:14" ht="45" customHeight="1" x14ac:dyDescent="0.25">
      <c r="A176" s="16" t="s">
        <v>302</v>
      </c>
      <c r="B176" s="20">
        <v>96544</v>
      </c>
      <c r="C176" s="77" t="str">
        <f>VLOOKUP(B176,IF(A176="COMPOSICAO",S!$A:$D,I!$A:$D),2,FALSE)</f>
        <v>ARMAÇÃO DE BLOCO, VIGA BALDRAME OU SAPATA UTILIZANDO AÇO CA-50 DE 6,3 MM - MONTAGEM. AF_06/2017</v>
      </c>
      <c r="D176" s="77"/>
      <c r="E176" s="77"/>
      <c r="F176" s="77"/>
      <c r="G176" s="16" t="str">
        <f>VLOOKUP(B176,IF(A176="COMPOSICAO",S!$A:$D,I!$A:$D),3,FALSE)</f>
        <v>KG</v>
      </c>
      <c r="H176" s="22">
        <f>0.16</f>
        <v>0.16</v>
      </c>
      <c r="I176" s="17">
        <f>IF(A176="COMPOSICAO",VLOOKUP("TOTAL - "&amp;B176,COMPOSICAO_AUX_1!$A:$J,10,FALSE),VLOOKUP(B176,I!$A:$D,4,FALSE))</f>
        <v>16.670000000000002</v>
      </c>
      <c r="J176" s="80">
        <f t="shared" si="5"/>
        <v>2.66</v>
      </c>
      <c r="K176" s="81"/>
      <c r="L176" s="3"/>
      <c r="M176" s="3"/>
      <c r="N176" s="3"/>
    </row>
    <row r="177" spans="1:14" ht="45" customHeight="1" x14ac:dyDescent="0.25">
      <c r="A177" s="16" t="s">
        <v>302</v>
      </c>
      <c r="B177" s="20">
        <v>96546</v>
      </c>
      <c r="C177" s="77" t="str">
        <f>VLOOKUP(B177,IF(A177="COMPOSICAO",S!$A:$D,I!$A:$D),2,FALSE)</f>
        <v>ARMAÇÃO DE BLOCO, VIGA BALDRAME OU SAPATA UTILIZANDO AÇO CA-50 DE 10 MM - MONTAGEM. AF_06/2017</v>
      </c>
      <c r="D177" s="77"/>
      <c r="E177" s="77"/>
      <c r="F177" s="77"/>
      <c r="G177" s="16" t="str">
        <f>VLOOKUP(B177,IF(A177="COMPOSICAO",S!$A:$D,I!$A:$D),3,FALSE)</f>
        <v>KG</v>
      </c>
      <c r="H177" s="22">
        <f>1</f>
        <v>1</v>
      </c>
      <c r="I177" s="17">
        <f>IF(A177="COMPOSICAO",VLOOKUP("TOTAL - "&amp;B177,COMPOSICAO_AUX_1!$A:$J,10,FALSE),VLOOKUP(B177,I!$A:$D,4,FALSE))</f>
        <v>14.16</v>
      </c>
      <c r="J177" s="80">
        <f t="shared" si="5"/>
        <v>14.16</v>
      </c>
      <c r="K177" s="81"/>
      <c r="L177" s="3"/>
      <c r="M177" s="3"/>
      <c r="N177" s="3"/>
    </row>
    <row r="178" spans="1:14" ht="60" customHeight="1" x14ac:dyDescent="0.25">
      <c r="A178" s="16" t="s">
        <v>302</v>
      </c>
      <c r="B178" s="20">
        <v>101982</v>
      </c>
      <c r="C178" s="77" t="str">
        <f>VLOOKUP(B178,IF(A178="COMPOSICAO",S!$A:$D,I!$A:$D),2,FALSE)</f>
        <v>MONTAGEM E DESMONTAGEM DE FÔRMA PARA ESCADAS, COM 2 LANCES EM "U" E LAJE PLANA, EM CHAPA DE MADEIRA COMPENSADA PLASTIFICADA, 8 UTILIZAÇÕES. AF_11/2020</v>
      </c>
      <c r="D178" s="77"/>
      <c r="E178" s="77"/>
      <c r="F178" s="77"/>
      <c r="G178" s="16" t="str">
        <f>VLOOKUP(B178,IF(A178="COMPOSICAO",S!$A:$D,I!$A:$D),3,FALSE)</f>
        <v>M2</v>
      </c>
      <c r="H178" s="22">
        <f>0.21</f>
        <v>0.21</v>
      </c>
      <c r="I178" s="17">
        <f>IF(A178="COMPOSICAO",VLOOKUP("TOTAL - "&amp;B178,COMPOSICAO_AUX_1!$A:$J,10,FALSE),VLOOKUP(B178,I!$A:$D,4,FALSE))</f>
        <v>141.51</v>
      </c>
      <c r="J178" s="80">
        <f t="shared" si="5"/>
        <v>29.71</v>
      </c>
      <c r="K178" s="81"/>
      <c r="L178" s="3"/>
      <c r="M178" s="3"/>
      <c r="N178" s="3"/>
    </row>
    <row r="179" spans="1:14" ht="15" customHeight="1" x14ac:dyDescent="0.25">
      <c r="A179" s="23" t="s">
        <v>303</v>
      </c>
      <c r="B179" s="24"/>
      <c r="C179" s="24"/>
      <c r="D179" s="24"/>
      <c r="E179" s="24"/>
      <c r="F179" s="24"/>
      <c r="G179" s="25"/>
      <c r="H179" s="26"/>
      <c r="I179" s="27"/>
      <c r="J179" s="80">
        <f>SUM(J152:K178)</f>
        <v>1937.8099999999997</v>
      </c>
      <c r="K179" s="81"/>
    </row>
    <row r="180" spans="1:14" ht="15" customHeight="1" x14ac:dyDescent="0.25">
      <c r="A180" s="23" t="str">
        <f>"TAXA DE BDI ("&amp;BDI&amp;" %)"</f>
        <v>TAXA DE BDI (20,8 %)</v>
      </c>
      <c r="B180" s="24"/>
      <c r="C180" s="24"/>
      <c r="D180" s="24"/>
      <c r="E180" s="24"/>
      <c r="F180" s="24"/>
      <c r="G180" s="25"/>
      <c r="H180" s="26"/>
      <c r="I180" s="27"/>
      <c r="J180" s="80">
        <f>ROUND(J179*(BDI/100),2)</f>
        <v>403.06</v>
      </c>
      <c r="K180" s="81"/>
    </row>
    <row r="181" spans="1:14" ht="15" customHeight="1" x14ac:dyDescent="0.25">
      <c r="A181" s="23" t="s">
        <v>364</v>
      </c>
      <c r="B181" s="24"/>
      <c r="C181" s="24"/>
      <c r="D181" s="24"/>
      <c r="E181" s="24"/>
      <c r="F181" s="24"/>
      <c r="G181" s="25"/>
      <c r="H181" s="26"/>
      <c r="I181" s="27"/>
      <c r="J181" s="80">
        <f>SUM(J179:K180)</f>
        <v>2340.87</v>
      </c>
      <c r="K181" s="81"/>
    </row>
    <row r="182" spans="1:14" ht="15" customHeight="1" x14ac:dyDescent="0.25">
      <c r="A182" s="3"/>
      <c r="B182" s="3"/>
      <c r="C182" s="3"/>
      <c r="D182" s="3"/>
      <c r="E182" s="3"/>
      <c r="F182" s="3"/>
      <c r="G182" s="3"/>
      <c r="H182" s="3"/>
      <c r="I182" s="3"/>
      <c r="J182" s="3"/>
      <c r="K182" s="3"/>
    </row>
    <row r="183" spans="1:14" ht="15" customHeight="1" x14ac:dyDescent="0.25">
      <c r="A183" s="10" t="s">
        <v>295</v>
      </c>
      <c r="B183" s="10" t="s">
        <v>31</v>
      </c>
      <c r="C183" s="82" t="s">
        <v>7</v>
      </c>
      <c r="D183" s="83"/>
      <c r="E183" s="83"/>
      <c r="F183" s="83"/>
      <c r="G183" s="6" t="s">
        <v>32</v>
      </c>
      <c r="H183" s="6" t="s">
        <v>296</v>
      </c>
      <c r="I183" s="6" t="s">
        <v>297</v>
      </c>
      <c r="J183" s="57" t="s">
        <v>9</v>
      </c>
      <c r="K183" s="58"/>
    </row>
    <row r="184" spans="1:14" ht="30" customHeight="1" x14ac:dyDescent="0.25">
      <c r="A184" s="6" t="s">
        <v>365</v>
      </c>
      <c r="B184" s="28">
        <v>98557</v>
      </c>
      <c r="C184" s="91" t="str">
        <f>VLOOKUP(B184,S!$A:$D,2,FALSE)</f>
        <v>IMPERMEABILIZAÇÃO DE SUPERFÍCIE COM EMULSÃO ASFÁLTICA, 2 DEMÃOS AF_06/2018</v>
      </c>
      <c r="D184" s="91"/>
      <c r="E184" s="91"/>
      <c r="F184" s="92"/>
      <c r="G184" s="6" t="str">
        <f>VLOOKUP(B184,S!$A:$D,3,FALSE)</f>
        <v>M2</v>
      </c>
      <c r="H184" s="21"/>
      <c r="I184" s="21">
        <f>J188</f>
        <v>40.18</v>
      </c>
      <c r="J184" s="76"/>
      <c r="K184" s="72"/>
      <c r="L184" s="21">
        <f>VLOOKUP(B184,S!$A:$D,4,FALSE)</f>
        <v>40.18</v>
      </c>
      <c r="M184" s="6" t="str">
        <f>IF(ROUND((L184-I184),2)=0,"OK, confere com a tabela.",IF(ROUND((L184-I184),2)&lt;0,"ACIMA ("&amp;TEXT(ROUND(I184*100/L184,4),"0,0000")&amp;" %) da tabela.","ABAIXO ("&amp;TEXT(ROUND(I184*100/L184,4),"0,0000")&amp;" %) da tabela."))</f>
        <v>OK, confere com a tabela.</v>
      </c>
    </row>
    <row r="185" spans="1:14" ht="60" customHeight="1" x14ac:dyDescent="0.25">
      <c r="A185" s="16" t="s">
        <v>306</v>
      </c>
      <c r="B185" s="20">
        <v>626</v>
      </c>
      <c r="C185" s="77" t="str">
        <f>VLOOKUP(B185,IF(A185="COMPOSICAO",S!$A:$D,I!$A:$D),2,FALSE)</f>
        <v>MANTA LIQUIDA DE BASE ASFALTICA MODIFICADA COM A ADICAO DE ELASTOMEROS DILUIDOS EM SOLVENTE ORGANICO, APLICACAO A FRIO (MEMBRANA IMPERMEABILIZANTE ASFASTICA)</v>
      </c>
      <c r="D185" s="77"/>
      <c r="E185" s="77"/>
      <c r="F185" s="77"/>
      <c r="G185" s="16" t="str">
        <f>VLOOKUP(B185,IF(A185="COMPOSICAO",S!$A:$D,I!$A:$D),3,FALSE)</f>
        <v>KG</v>
      </c>
      <c r="H185" s="22">
        <f>1.5</f>
        <v>1.5</v>
      </c>
      <c r="I185" s="17">
        <f>IF(A185="COMPOSICAO",VLOOKUP("TOTAL - "&amp;B185,COMPOSICAO_AUX_1!$A:$J,10,FALSE),VLOOKUP(B185,I!$A:$D,4,FALSE))</f>
        <v>20.170000000000002</v>
      </c>
      <c r="J185" s="80">
        <f>TRUNC(H185*I185,2)</f>
        <v>30.25</v>
      </c>
      <c r="K185" s="81"/>
      <c r="L185" s="3"/>
      <c r="M185" s="3"/>
      <c r="N185" s="3"/>
    </row>
    <row r="186" spans="1:14" ht="30" customHeight="1" x14ac:dyDescent="0.25">
      <c r="A186" s="16" t="s">
        <v>302</v>
      </c>
      <c r="B186" s="20">
        <v>88243</v>
      </c>
      <c r="C186" s="77" t="str">
        <f>VLOOKUP(B186,IF(A186="COMPOSICAO",S!$A:$D,I!$A:$D),2,FALSE)</f>
        <v>AJUDANTE ESPECIALIZADO COM ENCARGOS COMPLEMENTARES</v>
      </c>
      <c r="D186" s="77"/>
      <c r="E186" s="77"/>
      <c r="F186" s="77"/>
      <c r="G186" s="16" t="str">
        <f>VLOOKUP(B186,IF(A186="COMPOSICAO",S!$A:$D,I!$A:$D),3,FALSE)</f>
        <v>H</v>
      </c>
      <c r="H186" s="22">
        <f>0.085</f>
        <v>8.5000000000000006E-2</v>
      </c>
      <c r="I186" s="17">
        <f>IF(A186="COMPOSICAO",VLOOKUP("TOTAL - "&amp;B186,COMPOSICAO_AUX_1!$A:$J,10,FALSE),VLOOKUP(B186,I!$A:$D,4,FALSE))</f>
        <v>18.440000000000001</v>
      </c>
      <c r="J186" s="80">
        <f>TRUNC(H186*I186,2)</f>
        <v>1.56</v>
      </c>
      <c r="K186" s="81"/>
      <c r="L186" s="3"/>
      <c r="M186" s="3"/>
      <c r="N186" s="3"/>
    </row>
    <row r="187" spans="1:14" ht="15" customHeight="1" x14ac:dyDescent="0.25">
      <c r="A187" s="16" t="s">
        <v>302</v>
      </c>
      <c r="B187" s="20">
        <v>88270</v>
      </c>
      <c r="C187" s="77" t="str">
        <f>VLOOKUP(B187,IF(A187="COMPOSICAO",S!$A:$D,I!$A:$D),2,FALSE)</f>
        <v>IMPERMEABILIZADOR COM ENCARGOS COMPLEMENTARES</v>
      </c>
      <c r="D187" s="77"/>
      <c r="E187" s="77"/>
      <c r="F187" s="77"/>
      <c r="G187" s="16" t="str">
        <f>VLOOKUP(B187,IF(A187="COMPOSICAO",S!$A:$D,I!$A:$D),3,FALSE)</f>
        <v>H</v>
      </c>
      <c r="H187" s="22">
        <f>0.422</f>
        <v>0.42199999999999999</v>
      </c>
      <c r="I187" s="17">
        <f>IF(A187="COMPOSICAO",VLOOKUP("TOTAL - "&amp;B187,COMPOSICAO_AUX_1!$A:$J,10,FALSE),VLOOKUP(B187,I!$A:$D,4,FALSE))</f>
        <v>19.849999999999994</v>
      </c>
      <c r="J187" s="80">
        <f>TRUNC(H187*I187,2)</f>
        <v>8.3699999999999992</v>
      </c>
      <c r="K187" s="81"/>
      <c r="L187" s="3"/>
      <c r="M187" s="3"/>
      <c r="N187" s="3"/>
    </row>
    <row r="188" spans="1:14" ht="15" customHeight="1" x14ac:dyDescent="0.25">
      <c r="A188" s="23" t="s">
        <v>303</v>
      </c>
      <c r="B188" s="24"/>
      <c r="C188" s="24"/>
      <c r="D188" s="24"/>
      <c r="E188" s="24"/>
      <c r="F188" s="24"/>
      <c r="G188" s="25"/>
      <c r="H188" s="26"/>
      <c r="I188" s="27"/>
      <c r="J188" s="80">
        <f>SUM(J184:K187)</f>
        <v>40.18</v>
      </c>
      <c r="K188" s="81"/>
    </row>
    <row r="189" spans="1:14" ht="15" customHeight="1" x14ac:dyDescent="0.25">
      <c r="A189" s="23" t="str">
        <f>"TAXA DE BDI ("&amp;BDI&amp;" %)"</f>
        <v>TAXA DE BDI (20,8 %)</v>
      </c>
      <c r="B189" s="24"/>
      <c r="C189" s="24"/>
      <c r="D189" s="24"/>
      <c r="E189" s="24"/>
      <c r="F189" s="24"/>
      <c r="G189" s="25"/>
      <c r="H189" s="26"/>
      <c r="I189" s="27"/>
      <c r="J189" s="80">
        <f>ROUND(J188*(BDI/100),2)</f>
        <v>8.36</v>
      </c>
      <c r="K189" s="81"/>
    </row>
    <row r="190" spans="1:14" ht="15" customHeight="1" x14ac:dyDescent="0.25">
      <c r="A190" s="23" t="s">
        <v>366</v>
      </c>
      <c r="B190" s="24"/>
      <c r="C190" s="24"/>
      <c r="D190" s="24"/>
      <c r="E190" s="24"/>
      <c r="F190" s="24"/>
      <c r="G190" s="25"/>
      <c r="H190" s="26"/>
      <c r="I190" s="27"/>
      <c r="J190" s="80">
        <f>SUM(J188:K189)</f>
        <v>48.54</v>
      </c>
      <c r="K190" s="81"/>
    </row>
    <row r="191" spans="1:14" ht="15" customHeight="1" x14ac:dyDescent="0.25">
      <c r="A191" s="3"/>
      <c r="B191" s="3"/>
      <c r="C191" s="3"/>
      <c r="D191" s="3"/>
      <c r="E191" s="3"/>
      <c r="F191" s="3"/>
      <c r="G191" s="3"/>
      <c r="H191" s="3"/>
      <c r="I191" s="3"/>
      <c r="J191" s="3"/>
      <c r="K191" s="3"/>
    </row>
    <row r="192" spans="1:14" ht="15" customHeight="1" x14ac:dyDescent="0.25">
      <c r="A192" s="10" t="s">
        <v>295</v>
      </c>
      <c r="B192" s="10" t="s">
        <v>31</v>
      </c>
      <c r="C192" s="82" t="s">
        <v>7</v>
      </c>
      <c r="D192" s="83"/>
      <c r="E192" s="83"/>
      <c r="F192" s="83"/>
      <c r="G192" s="6" t="s">
        <v>32</v>
      </c>
      <c r="H192" s="6" t="s">
        <v>296</v>
      </c>
      <c r="I192" s="6" t="s">
        <v>297</v>
      </c>
      <c r="J192" s="57" t="s">
        <v>9</v>
      </c>
      <c r="K192" s="58"/>
    </row>
    <row r="193" spans="1:14" ht="60" customHeight="1" x14ac:dyDescent="0.25">
      <c r="A193" s="6" t="s">
        <v>367</v>
      </c>
      <c r="B193" s="28">
        <v>92550</v>
      </c>
      <c r="C193" s="91" t="str">
        <f>VLOOKUP(B193,S!$A:$D,2,FALSE)</f>
        <v>FABRICAÇÃO E INSTALAÇÃO DE TESOURA INTEIRA EM MADEIRA NÃO APARELHADA, VÃO DE 8 M, PARA TELHA CERÂMICA OU DE CONCRETO, INCLUSO IÇAMENTO. AF_07/2019</v>
      </c>
      <c r="D193" s="91"/>
      <c r="E193" s="91"/>
      <c r="F193" s="92"/>
      <c r="G193" s="6" t="str">
        <f>VLOOKUP(B193,S!$A:$D,3,FALSE)</f>
        <v>UN</v>
      </c>
      <c r="H193" s="21"/>
      <c r="I193" s="21">
        <f>J206</f>
        <v>1682.1099999999997</v>
      </c>
      <c r="J193" s="76"/>
      <c r="K193" s="72"/>
      <c r="L193" s="21">
        <f>VLOOKUP(B193,S!$A:$D,4,FALSE)</f>
        <v>1682.11</v>
      </c>
      <c r="M193" s="6" t="str">
        <f>IF(ROUND((L193-I193),2)=0,"OK, confere com a tabela.",IF(ROUND((L193-I193),2)&lt;0,"ACIMA ("&amp;TEXT(ROUND(I193*100/L193,4),"0,0000")&amp;" %) da tabela.","ABAIXO ("&amp;TEXT(ROUND(I193*100/L193,4),"0,0000")&amp;" %) da tabela."))</f>
        <v>OK, confere com a tabela.</v>
      </c>
    </row>
    <row r="194" spans="1:14" ht="45" customHeight="1" x14ac:dyDescent="0.25">
      <c r="A194" s="16" t="s">
        <v>306</v>
      </c>
      <c r="B194" s="20">
        <v>4344</v>
      </c>
      <c r="C194" s="77" t="str">
        <f>VLOOKUP(B194,IF(A194="COMPOSICAO",S!$A:$D,I!$A:$D),2,FALSE)</f>
        <v>PARAFUSO FRANCES METRICO ZINCADO, DIAMETRO 12 MM, COMPRIMENTO 150 MM, COM PORCA SEXTAVADA E ARRUELA DE PRESSAO MEDIA</v>
      </c>
      <c r="D194" s="77"/>
      <c r="E194" s="77"/>
      <c r="F194" s="77"/>
      <c r="G194" s="16" t="str">
        <f>VLOOKUP(B194,IF(A194="COMPOSICAO",S!$A:$D,I!$A:$D),3,FALSE)</f>
        <v>UN</v>
      </c>
      <c r="H194" s="22">
        <f>4</f>
        <v>4</v>
      </c>
      <c r="I194" s="17">
        <f>IF(A194="COMPOSICAO",VLOOKUP("TOTAL - "&amp;B194,COMPOSICAO_AUX_1!$A:$J,10,FALSE),VLOOKUP(B194,I!$A:$D,4,FALSE))</f>
        <v>12.32</v>
      </c>
      <c r="J194" s="80">
        <f t="shared" ref="J194:J205" si="6">TRUNC(H194*I194,2)</f>
        <v>49.28</v>
      </c>
      <c r="K194" s="81"/>
      <c r="L194" s="3"/>
      <c r="M194" s="3"/>
      <c r="N194" s="3"/>
    </row>
    <row r="195" spans="1:14" ht="45" customHeight="1" x14ac:dyDescent="0.25">
      <c r="A195" s="16" t="s">
        <v>306</v>
      </c>
      <c r="B195" s="20">
        <v>4400</v>
      </c>
      <c r="C195" s="77" t="str">
        <f>VLOOKUP(B195,IF(A195="COMPOSICAO",S!$A:$D,I!$A:$D),2,FALSE)</f>
        <v>CAIBRO NAO APARELHADO,  *6 X 8* CM,  EM MACARANDUBA, ANGELIM OU EQUIVALENTE DA REGIAO -  BRUTA</v>
      </c>
      <c r="D195" s="77"/>
      <c r="E195" s="77"/>
      <c r="F195" s="77"/>
      <c r="G195" s="16" t="str">
        <f>VLOOKUP(B195,IF(A195="COMPOSICAO",S!$A:$D,I!$A:$D),3,FALSE)</f>
        <v>M</v>
      </c>
      <c r="H195" s="22">
        <f>6</f>
        <v>6</v>
      </c>
      <c r="I195" s="17">
        <f>IF(A195="COMPOSICAO",VLOOKUP("TOTAL - "&amp;B195,COMPOSICAO_AUX_1!$A:$J,10,FALSE),VLOOKUP(B195,I!$A:$D,4,FALSE))</f>
        <v>15.12</v>
      </c>
      <c r="J195" s="80">
        <f t="shared" si="6"/>
        <v>90.72</v>
      </c>
      <c r="K195" s="81"/>
      <c r="L195" s="3"/>
      <c r="M195" s="3"/>
      <c r="N195" s="3"/>
    </row>
    <row r="196" spans="1:14" ht="45" customHeight="1" x14ac:dyDescent="0.25">
      <c r="A196" s="16" t="s">
        <v>306</v>
      </c>
      <c r="B196" s="20">
        <v>4415</v>
      </c>
      <c r="C196" s="77" t="str">
        <f>VLOOKUP(B196,IF(A196="COMPOSICAO",S!$A:$D,I!$A:$D),2,FALSE)</f>
        <v>SARRAFO NAO APARELHADO 2,5 X 5 CM, EM MACARANDUBA, ANGELIM OU EQUIVALENTE DA REGIAO -  BRUTA</v>
      </c>
      <c r="D196" s="77"/>
      <c r="E196" s="77"/>
      <c r="F196" s="77"/>
      <c r="G196" s="16" t="str">
        <f>VLOOKUP(B196,IF(A196="COMPOSICAO",S!$A:$D,I!$A:$D),3,FALSE)</f>
        <v>M</v>
      </c>
      <c r="H196" s="22">
        <f>4</f>
        <v>4</v>
      </c>
      <c r="I196" s="17">
        <f>IF(A196="COMPOSICAO",VLOOKUP("TOTAL - "&amp;B196,COMPOSICAO_AUX_1!$A:$J,10,FALSE),VLOOKUP(B196,I!$A:$D,4,FALSE))</f>
        <v>3.59</v>
      </c>
      <c r="J196" s="80">
        <f t="shared" si="6"/>
        <v>14.36</v>
      </c>
      <c r="K196" s="81"/>
      <c r="L196" s="3"/>
      <c r="M196" s="3"/>
      <c r="N196" s="3"/>
    </row>
    <row r="197" spans="1:14" ht="30" customHeight="1" x14ac:dyDescent="0.25">
      <c r="A197" s="16" t="s">
        <v>306</v>
      </c>
      <c r="B197" s="20">
        <v>4425</v>
      </c>
      <c r="C197" s="77" t="str">
        <f>VLOOKUP(B197,IF(A197="COMPOSICAO",S!$A:$D,I!$A:$D),2,FALSE)</f>
        <v>VIGA NAO APARELHADA  *6 X 12* CM, EM MACARANDUBA, ANGELIM OU EQUIVALENTE DA REGIAO - BRUTA</v>
      </c>
      <c r="D197" s="77"/>
      <c r="E197" s="77"/>
      <c r="F197" s="77"/>
      <c r="G197" s="16" t="str">
        <f>VLOOKUP(B197,IF(A197="COMPOSICAO",S!$A:$D,I!$A:$D),3,FALSE)</f>
        <v>M</v>
      </c>
      <c r="H197" s="22">
        <f>10</f>
        <v>10</v>
      </c>
      <c r="I197" s="17">
        <f>IF(A197="COMPOSICAO",VLOOKUP("TOTAL - "&amp;B197,COMPOSICAO_AUX_1!$A:$J,10,FALSE),VLOOKUP(B197,I!$A:$D,4,FALSE))</f>
        <v>20.09</v>
      </c>
      <c r="J197" s="80">
        <f t="shared" si="6"/>
        <v>200.9</v>
      </c>
      <c r="K197" s="81"/>
      <c r="L197" s="3"/>
      <c r="M197" s="3"/>
      <c r="N197" s="3"/>
    </row>
    <row r="198" spans="1:14" ht="30" customHeight="1" x14ac:dyDescent="0.25">
      <c r="A198" s="16" t="s">
        <v>306</v>
      </c>
      <c r="B198" s="20">
        <v>4472</v>
      </c>
      <c r="C198" s="77" t="str">
        <f>VLOOKUP(B198,IF(A198="COMPOSICAO",S!$A:$D,I!$A:$D),2,FALSE)</f>
        <v>VIGA NAO APARELHADA *6 X 16* CM, EM MACARANDUBA, ANGELIM OU EQUIVALENTE DA REGIAO -  BRUTA</v>
      </c>
      <c r="D198" s="77"/>
      <c r="E198" s="77"/>
      <c r="F198" s="77"/>
      <c r="G198" s="16" t="str">
        <f>VLOOKUP(B198,IF(A198="COMPOSICAO",S!$A:$D,I!$A:$D),3,FALSE)</f>
        <v>M</v>
      </c>
      <c r="H198" s="22">
        <f>9</f>
        <v>9</v>
      </c>
      <c r="I198" s="17">
        <f>IF(A198="COMPOSICAO",VLOOKUP("TOTAL - "&amp;B198,COMPOSICAO_AUX_1!$A:$J,10,FALSE),VLOOKUP(B198,I!$A:$D,4,FALSE))</f>
        <v>25.1</v>
      </c>
      <c r="J198" s="80">
        <f t="shared" si="6"/>
        <v>225.9</v>
      </c>
      <c r="K198" s="81"/>
      <c r="L198" s="3"/>
      <c r="M198" s="3"/>
      <c r="N198" s="3"/>
    </row>
    <row r="199" spans="1:14" ht="45" customHeight="1" x14ac:dyDescent="0.25">
      <c r="A199" s="16" t="s">
        <v>306</v>
      </c>
      <c r="B199" s="20">
        <v>6193</v>
      </c>
      <c r="C199" s="77" t="str">
        <f>VLOOKUP(B199,IF(A199="COMPOSICAO",S!$A:$D,I!$A:$D),2,FALSE)</f>
        <v>TABUA  NAO  APARELHADA  *2,5 X 20* CM, EM MACARANDUBA, ANGELIM OU EQUIVALENTE DA REGIAO - BRUTA</v>
      </c>
      <c r="D199" s="77"/>
      <c r="E199" s="77"/>
      <c r="F199" s="77"/>
      <c r="G199" s="16" t="str">
        <f>VLOOKUP(B199,IF(A199="COMPOSICAO",S!$A:$D,I!$A:$D),3,FALSE)</f>
        <v>M</v>
      </c>
      <c r="H199" s="22">
        <f>3</f>
        <v>3</v>
      </c>
      <c r="I199" s="17">
        <f>IF(A199="COMPOSICAO",VLOOKUP("TOTAL - "&amp;B199,COMPOSICAO_AUX_1!$A:$J,10,FALSE),VLOOKUP(B199,I!$A:$D,4,FALSE))</f>
        <v>13.42</v>
      </c>
      <c r="J199" s="80">
        <f t="shared" si="6"/>
        <v>40.26</v>
      </c>
      <c r="K199" s="81"/>
      <c r="L199" s="3"/>
      <c r="M199" s="3"/>
      <c r="N199" s="3"/>
    </row>
    <row r="200" spans="1:14" ht="45" customHeight="1" x14ac:dyDescent="0.25">
      <c r="A200" s="16" t="s">
        <v>306</v>
      </c>
      <c r="B200" s="20">
        <v>21142</v>
      </c>
      <c r="C200" s="77" t="str">
        <f>VLOOKUP(B200,IF(A200="COMPOSICAO",S!$A:$D,I!$A:$D),2,FALSE)</f>
        <v>ESTRIBO COM PARAFUSO EM CHAPA DE FERRO FUNDIDO DE 2" X 3/16" X 35 CM, SECAO "U", PARA MADEIRAMENTO DE TELHADO</v>
      </c>
      <c r="D200" s="77"/>
      <c r="E200" s="77"/>
      <c r="F200" s="77"/>
      <c r="G200" s="16" t="str">
        <f>VLOOKUP(B200,IF(A200="COMPOSICAO",S!$A:$D,I!$A:$D),3,FALSE)</f>
        <v>UN</v>
      </c>
      <c r="H200" s="22">
        <f>1</f>
        <v>1</v>
      </c>
      <c r="I200" s="17">
        <f>IF(A200="COMPOSICAO",VLOOKUP("TOTAL - "&amp;B200,COMPOSICAO_AUX_1!$A:$J,10,FALSE),VLOOKUP(B200,I!$A:$D,4,FALSE))</f>
        <v>17.670000000000002</v>
      </c>
      <c r="J200" s="80">
        <f t="shared" si="6"/>
        <v>17.670000000000002</v>
      </c>
      <c r="K200" s="81"/>
      <c r="L200" s="3"/>
      <c r="M200" s="3"/>
      <c r="N200" s="3"/>
    </row>
    <row r="201" spans="1:14" ht="30" customHeight="1" x14ac:dyDescent="0.25">
      <c r="A201" s="16" t="s">
        <v>306</v>
      </c>
      <c r="B201" s="20">
        <v>39027</v>
      </c>
      <c r="C201" s="77" t="str">
        <f>VLOOKUP(B201,IF(A201="COMPOSICAO",S!$A:$D,I!$A:$D),2,FALSE)</f>
        <v>PREGO DE ACO POLIDO COM CABECA 19  X 36 (3 1/4  X  9)</v>
      </c>
      <c r="D201" s="77"/>
      <c r="E201" s="77"/>
      <c r="F201" s="77"/>
      <c r="G201" s="16" t="str">
        <f>VLOOKUP(B201,IF(A201="COMPOSICAO",S!$A:$D,I!$A:$D),3,FALSE)</f>
        <v>KG</v>
      </c>
      <c r="H201" s="22">
        <f>2.4</f>
        <v>2.4</v>
      </c>
      <c r="I201" s="17">
        <f>IF(A201="COMPOSICAO",VLOOKUP("TOTAL - "&amp;B201,COMPOSICAO_AUX_1!$A:$J,10,FALSE),VLOOKUP(B201,I!$A:$D,4,FALSE))</f>
        <v>19.309999999999999</v>
      </c>
      <c r="J201" s="80">
        <f t="shared" si="6"/>
        <v>46.34</v>
      </c>
      <c r="K201" s="81"/>
      <c r="L201" s="3"/>
      <c r="M201" s="3"/>
      <c r="N201" s="3"/>
    </row>
    <row r="202" spans="1:14" ht="45" customHeight="1" x14ac:dyDescent="0.25">
      <c r="A202" s="16" t="s">
        <v>306</v>
      </c>
      <c r="B202" s="20">
        <v>40623</v>
      </c>
      <c r="C202" s="77" t="str">
        <f>VLOOKUP(B202,IF(A202="COMPOSICAO",S!$A:$D,I!$A:$D),2,FALSE)</f>
        <v>CHAPA PARA EMENDA DE VIGA, EM ACO GROSSO, QUALIDADE ESTRUTURAL, BITOLA 3/16 ", E= 4,75 MM, 4 FUROS, LARGURA 45 MM, COMPRIMENTO 500 MM</v>
      </c>
      <c r="D202" s="77"/>
      <c r="E202" s="77"/>
      <c r="F202" s="77"/>
      <c r="G202" s="16" t="str">
        <f>VLOOKUP(B202,IF(A202="COMPOSICAO",S!$A:$D,I!$A:$D),3,FALSE)</f>
        <v>PAR</v>
      </c>
      <c r="H202" s="22">
        <f>1</f>
        <v>1</v>
      </c>
      <c r="I202" s="17">
        <f>IF(A202="COMPOSICAO",VLOOKUP("TOTAL - "&amp;B202,COMPOSICAO_AUX_1!$A:$J,10,FALSE),VLOOKUP(B202,I!$A:$D,4,FALSE))</f>
        <v>105.77</v>
      </c>
      <c r="J202" s="80">
        <f t="shared" si="6"/>
        <v>105.77</v>
      </c>
      <c r="K202" s="81"/>
      <c r="L202" s="3"/>
      <c r="M202" s="3"/>
      <c r="N202" s="3"/>
    </row>
    <row r="203" spans="1:14" ht="30" customHeight="1" x14ac:dyDescent="0.25">
      <c r="A203" s="16" t="s">
        <v>302</v>
      </c>
      <c r="B203" s="20">
        <v>88239</v>
      </c>
      <c r="C203" s="77" t="str">
        <f>VLOOKUP(B203,IF(A203="COMPOSICAO",S!$A:$D,I!$A:$D),2,FALSE)</f>
        <v>AJUDANTE DE CARPINTEIRO COM ENCARGOS COMPLEMENTARES</v>
      </c>
      <c r="D203" s="77"/>
      <c r="E203" s="77"/>
      <c r="F203" s="77"/>
      <c r="G203" s="16" t="str">
        <f>VLOOKUP(B203,IF(A203="COMPOSICAO",S!$A:$D,I!$A:$D),3,FALSE)</f>
        <v>H</v>
      </c>
      <c r="H203" s="22">
        <f>4.323</f>
        <v>4.3230000000000004</v>
      </c>
      <c r="I203" s="17">
        <f>IF(A203="COMPOSICAO",VLOOKUP("TOTAL - "&amp;B203,COMPOSICAO_AUX_1!$A:$J,10,FALSE),VLOOKUP(B203,I!$A:$D,4,FALSE))</f>
        <v>16.470000000000002</v>
      </c>
      <c r="J203" s="80">
        <f t="shared" si="6"/>
        <v>71.19</v>
      </c>
      <c r="K203" s="81"/>
      <c r="L203" s="3"/>
      <c r="M203" s="3"/>
      <c r="N203" s="3"/>
    </row>
    <row r="204" spans="1:14" ht="30" customHeight="1" x14ac:dyDescent="0.25">
      <c r="A204" s="16" t="s">
        <v>302</v>
      </c>
      <c r="B204" s="20">
        <v>88262</v>
      </c>
      <c r="C204" s="77" t="str">
        <f>VLOOKUP(B204,IF(A204="COMPOSICAO",S!$A:$D,I!$A:$D),2,FALSE)</f>
        <v>CARPINTEIRO DE FORMAS COM ENCARGOS COMPLEMENTARES</v>
      </c>
      <c r="D204" s="77"/>
      <c r="E204" s="77"/>
      <c r="F204" s="77"/>
      <c r="G204" s="16" t="str">
        <f>VLOOKUP(B204,IF(A204="COMPOSICAO",S!$A:$D,I!$A:$D),3,FALSE)</f>
        <v>H</v>
      </c>
      <c r="H204" s="22">
        <f>18.735</f>
        <v>18.734999999999999</v>
      </c>
      <c r="I204" s="17">
        <f>IF(A204="COMPOSICAO",VLOOKUP("TOTAL - "&amp;B204,COMPOSICAO_AUX_1!$A:$J,10,FALSE),VLOOKUP(B204,I!$A:$D,4,FALSE))</f>
        <v>19.649999999999999</v>
      </c>
      <c r="J204" s="80">
        <f t="shared" si="6"/>
        <v>368.14</v>
      </c>
      <c r="K204" s="81"/>
      <c r="L204" s="3"/>
      <c r="M204" s="3"/>
      <c r="N204" s="3"/>
    </row>
    <row r="205" spans="1:14" ht="60" customHeight="1" x14ac:dyDescent="0.25">
      <c r="A205" s="16" t="s">
        <v>302</v>
      </c>
      <c r="B205" s="20">
        <v>92261</v>
      </c>
      <c r="C205" s="77" t="str">
        <f>VLOOKUP(B205,IF(A205="COMPOSICAO",S!$A:$D,I!$A:$D),2,FALSE)</f>
        <v>INSTALAÇÃO DE TESOURA (INTEIRA OU MEIA), BIAPOIADA, EM MADEIRA NÃO APARELHADA, PARA VÃOS MAIORES OU IGUAIS A 8,0 M E MENORES QUE 10,0 M, INCLUSO IÇAMENTO. AF_07/2019</v>
      </c>
      <c r="D205" s="77"/>
      <c r="E205" s="77"/>
      <c r="F205" s="77"/>
      <c r="G205" s="16" t="str">
        <f>VLOOKUP(B205,IF(A205="COMPOSICAO",S!$A:$D,I!$A:$D),3,FALSE)</f>
        <v>UN</v>
      </c>
      <c r="H205" s="22">
        <f>1</f>
        <v>1</v>
      </c>
      <c r="I205" s="17">
        <f>IF(A205="COMPOSICAO",VLOOKUP("TOTAL - "&amp;B205,COMPOSICAO_AUX_1!$A:$J,10,FALSE),VLOOKUP(B205,I!$A:$D,4,FALSE))</f>
        <v>451.58</v>
      </c>
      <c r="J205" s="80">
        <f t="shared" si="6"/>
        <v>451.58</v>
      </c>
      <c r="K205" s="81"/>
      <c r="L205" s="3"/>
      <c r="M205" s="3"/>
      <c r="N205" s="3"/>
    </row>
    <row r="206" spans="1:14" ht="15" customHeight="1" x14ac:dyDescent="0.25">
      <c r="A206" s="23" t="s">
        <v>303</v>
      </c>
      <c r="B206" s="24"/>
      <c r="C206" s="24"/>
      <c r="D206" s="24"/>
      <c r="E206" s="24"/>
      <c r="F206" s="24"/>
      <c r="G206" s="25"/>
      <c r="H206" s="26"/>
      <c r="I206" s="27"/>
      <c r="J206" s="80">
        <f>SUM(J193:K205)</f>
        <v>1682.1099999999997</v>
      </c>
      <c r="K206" s="81"/>
    </row>
    <row r="207" spans="1:14" ht="15" customHeight="1" x14ac:dyDescent="0.25">
      <c r="A207" s="23" t="str">
        <f>"TAXA DE BDI ("&amp;BDI&amp;" %)"</f>
        <v>TAXA DE BDI (20,8 %)</v>
      </c>
      <c r="B207" s="24"/>
      <c r="C207" s="24"/>
      <c r="D207" s="24"/>
      <c r="E207" s="24"/>
      <c r="F207" s="24"/>
      <c r="G207" s="25"/>
      <c r="H207" s="26"/>
      <c r="I207" s="27"/>
      <c r="J207" s="80">
        <f>ROUND(J206*(BDI/100),2)</f>
        <v>349.88</v>
      </c>
      <c r="K207" s="81"/>
    </row>
    <row r="208" spans="1:14" ht="15" customHeight="1" x14ac:dyDescent="0.25">
      <c r="A208" s="23" t="s">
        <v>368</v>
      </c>
      <c r="B208" s="24"/>
      <c r="C208" s="24"/>
      <c r="D208" s="24"/>
      <c r="E208" s="24"/>
      <c r="F208" s="24"/>
      <c r="G208" s="25"/>
      <c r="H208" s="26"/>
      <c r="I208" s="27"/>
      <c r="J208" s="80">
        <f>SUM(J206:K207)</f>
        <v>2031.9899999999998</v>
      </c>
      <c r="K208" s="81"/>
    </row>
    <row r="209" spans="1:14" ht="15" customHeight="1" x14ac:dyDescent="0.25">
      <c r="A209" s="3"/>
      <c r="B209" s="3"/>
      <c r="C209" s="3"/>
      <c r="D209" s="3"/>
      <c r="E209" s="3"/>
      <c r="F209" s="3"/>
      <c r="G209" s="3"/>
      <c r="H209" s="3"/>
      <c r="I209" s="3"/>
      <c r="J209" s="3"/>
      <c r="K209" s="3"/>
    </row>
    <row r="210" spans="1:14" ht="15" customHeight="1" x14ac:dyDescent="0.25">
      <c r="A210" s="10" t="s">
        <v>295</v>
      </c>
      <c r="B210" s="10" t="s">
        <v>31</v>
      </c>
      <c r="C210" s="82" t="s">
        <v>7</v>
      </c>
      <c r="D210" s="83"/>
      <c r="E210" s="83"/>
      <c r="F210" s="83"/>
      <c r="G210" s="6" t="s">
        <v>32</v>
      </c>
      <c r="H210" s="6" t="s">
        <v>296</v>
      </c>
      <c r="I210" s="6" t="s">
        <v>297</v>
      </c>
      <c r="J210" s="57" t="s">
        <v>9</v>
      </c>
      <c r="K210" s="58"/>
    </row>
    <row r="211" spans="1:14" ht="60" customHeight="1" x14ac:dyDescent="0.25">
      <c r="A211" s="6" t="s">
        <v>367</v>
      </c>
      <c r="B211" s="28">
        <v>92541</v>
      </c>
      <c r="C211" s="91" t="str">
        <f>VLOOKUP(B211,S!$A:$D,2,FALSE)</f>
        <v>TRAMA DE MADEIRA COMPOSTA POR RIPAS, CAIBROS E TERÇAS PARA TELHADOS DE ATÉ 2 ÁGUAS PARA TELHA CERÂMICA CAPA-CANAL, INCLUSO TRANSPORTE VERTICAL. AF_07/2019</v>
      </c>
      <c r="D211" s="91"/>
      <c r="E211" s="91"/>
      <c r="F211" s="92"/>
      <c r="G211" s="6" t="str">
        <f>VLOOKUP(B211,S!$A:$D,3,FALSE)</f>
        <v>M2</v>
      </c>
      <c r="H211" s="21"/>
      <c r="I211" s="21">
        <f>J222</f>
        <v>61.44</v>
      </c>
      <c r="J211" s="76"/>
      <c r="K211" s="72"/>
      <c r="L211" s="21">
        <f>VLOOKUP(B211,S!$A:$D,4,FALSE)</f>
        <v>61.44</v>
      </c>
      <c r="M211" s="6" t="str">
        <f>IF(ROUND((L211-I211),2)=0,"OK, confere com a tabela.",IF(ROUND((L211-I211),2)&lt;0,"ACIMA ("&amp;TEXT(ROUND(I211*100/L211,4),"0,0000")&amp;" %) da tabela.","ABAIXO ("&amp;TEXT(ROUND(I211*100/L211,4),"0,0000")&amp;" %) da tabela."))</f>
        <v>OK, confere com a tabela.</v>
      </c>
    </row>
    <row r="212" spans="1:14" ht="45" customHeight="1" x14ac:dyDescent="0.25">
      <c r="A212" s="16" t="s">
        <v>306</v>
      </c>
      <c r="B212" s="20">
        <v>4408</v>
      </c>
      <c r="C212" s="77" t="str">
        <f>VLOOKUP(B212,IF(A212="COMPOSICAO",S!$A:$D,I!$A:$D),2,FALSE)</f>
        <v>RIPA NAO APARELHADA,  *1,5 X 5* CM, EM MACARANDUBA, ANGELIM OU EQUIVALENTE DA REGIAO -  BRUTA</v>
      </c>
      <c r="D212" s="77"/>
      <c r="E212" s="77"/>
      <c r="F212" s="77"/>
      <c r="G212" s="16" t="str">
        <f>VLOOKUP(B212,IF(A212="COMPOSICAO",S!$A:$D,I!$A:$D),3,FALSE)</f>
        <v>M</v>
      </c>
      <c r="H212" s="22">
        <f>2.573</f>
        <v>2.573</v>
      </c>
      <c r="I212" s="17">
        <f>IF(A212="COMPOSICAO",VLOOKUP("TOTAL - "&amp;B212,COMPOSICAO_AUX_1!$A:$J,10,FALSE),VLOOKUP(B212,I!$A:$D,4,FALSE))</f>
        <v>1.81</v>
      </c>
      <c r="J212" s="80">
        <f t="shared" ref="J212:J221" si="7">TRUNC(H212*I212,2)</f>
        <v>4.6500000000000004</v>
      </c>
      <c r="K212" s="81"/>
      <c r="L212" s="3"/>
      <c r="M212" s="3"/>
      <c r="N212" s="3"/>
    </row>
    <row r="213" spans="1:14" ht="30" customHeight="1" x14ac:dyDescent="0.25">
      <c r="A213" s="16" t="s">
        <v>306</v>
      </c>
      <c r="B213" s="20">
        <v>4425</v>
      </c>
      <c r="C213" s="77" t="str">
        <f>VLOOKUP(B213,IF(A213="COMPOSICAO",S!$A:$D,I!$A:$D),2,FALSE)</f>
        <v>VIGA NAO APARELHADA  *6 X 12* CM, EM MACARANDUBA, ANGELIM OU EQUIVALENTE DA REGIAO - BRUTA</v>
      </c>
      <c r="D213" s="77"/>
      <c r="E213" s="77"/>
      <c r="F213" s="77"/>
      <c r="G213" s="16" t="str">
        <f>VLOOKUP(B213,IF(A213="COMPOSICAO",S!$A:$D,I!$A:$D),3,FALSE)</f>
        <v>M</v>
      </c>
      <c r="H213" s="22">
        <f>0.735</f>
        <v>0.73499999999999999</v>
      </c>
      <c r="I213" s="17">
        <f>IF(A213="COMPOSICAO",VLOOKUP("TOTAL - "&amp;B213,COMPOSICAO_AUX_1!$A:$J,10,FALSE),VLOOKUP(B213,I!$A:$D,4,FALSE))</f>
        <v>20.09</v>
      </c>
      <c r="J213" s="80">
        <f t="shared" si="7"/>
        <v>14.76</v>
      </c>
      <c r="K213" s="81"/>
      <c r="L213" s="3"/>
      <c r="M213" s="3"/>
      <c r="N213" s="3"/>
    </row>
    <row r="214" spans="1:14" ht="45" customHeight="1" x14ac:dyDescent="0.25">
      <c r="A214" s="16" t="s">
        <v>306</v>
      </c>
      <c r="B214" s="20">
        <v>4430</v>
      </c>
      <c r="C214" s="77" t="str">
        <f>VLOOKUP(B214,IF(A214="COMPOSICAO",S!$A:$D,I!$A:$D),2,FALSE)</f>
        <v>CAIBRO NAO APARELHADO *5 X 6* CM, EM MACARANDUBA, ANGELIM OU EQUIVALENTE DA REGIAO -  BRUTA</v>
      </c>
      <c r="D214" s="77"/>
      <c r="E214" s="77"/>
      <c r="F214" s="77"/>
      <c r="G214" s="16" t="str">
        <f>VLOOKUP(B214,IF(A214="COMPOSICAO",S!$A:$D,I!$A:$D),3,FALSE)</f>
        <v>M</v>
      </c>
      <c r="H214" s="22">
        <f>2.336</f>
        <v>2.3359999999999999</v>
      </c>
      <c r="I214" s="17">
        <f>IF(A214="COMPOSICAO",VLOOKUP("TOTAL - "&amp;B214,COMPOSICAO_AUX_1!$A:$J,10,FALSE),VLOOKUP(B214,I!$A:$D,4,FALSE))</f>
        <v>9.5</v>
      </c>
      <c r="J214" s="80">
        <f t="shared" si="7"/>
        <v>22.19</v>
      </c>
      <c r="K214" s="81"/>
      <c r="L214" s="3"/>
      <c r="M214" s="3"/>
      <c r="N214" s="3"/>
    </row>
    <row r="215" spans="1:14" ht="30" customHeight="1" x14ac:dyDescent="0.25">
      <c r="A215" s="16" t="s">
        <v>306</v>
      </c>
      <c r="B215" s="20">
        <v>20247</v>
      </c>
      <c r="C215" s="77" t="str">
        <f>VLOOKUP(B215,IF(A215="COMPOSICAO",S!$A:$D,I!$A:$D),2,FALSE)</f>
        <v>PREGO DE ACO POLIDO COM CABECA 15 X 15 (1 1/4 X 13)</v>
      </c>
      <c r="D215" s="77"/>
      <c r="E215" s="77"/>
      <c r="F215" s="77"/>
      <c r="G215" s="16" t="str">
        <f>VLOOKUP(B215,IF(A215="COMPOSICAO",S!$A:$D,I!$A:$D),3,FALSE)</f>
        <v>KG</v>
      </c>
      <c r="H215" s="22">
        <f>0.07</f>
        <v>7.0000000000000007E-2</v>
      </c>
      <c r="I215" s="17">
        <f>IF(A215="COMPOSICAO",VLOOKUP("TOTAL - "&amp;B215,COMPOSICAO_AUX_1!$A:$J,10,FALSE),VLOOKUP(B215,I!$A:$D,4,FALSE))</f>
        <v>21.4</v>
      </c>
      <c r="J215" s="80">
        <f t="shared" si="7"/>
        <v>1.49</v>
      </c>
      <c r="K215" s="81"/>
      <c r="L215" s="3"/>
      <c r="M215" s="3"/>
      <c r="N215" s="3"/>
    </row>
    <row r="216" spans="1:14" ht="30" customHeight="1" x14ac:dyDescent="0.25">
      <c r="A216" s="16" t="s">
        <v>306</v>
      </c>
      <c r="B216" s="20">
        <v>39027</v>
      </c>
      <c r="C216" s="77" t="str">
        <f>VLOOKUP(B216,IF(A216="COMPOSICAO",S!$A:$D,I!$A:$D),2,FALSE)</f>
        <v>PREGO DE ACO POLIDO COM CABECA 19  X 36 (3 1/4  X  9)</v>
      </c>
      <c r="D216" s="77"/>
      <c r="E216" s="77"/>
      <c r="F216" s="77"/>
      <c r="G216" s="16" t="str">
        <f>VLOOKUP(B216,IF(A216="COMPOSICAO",S!$A:$D,I!$A:$D),3,FALSE)</f>
        <v>KG</v>
      </c>
      <c r="H216" s="22">
        <f>0.05</f>
        <v>0.05</v>
      </c>
      <c r="I216" s="17">
        <f>IF(A216="COMPOSICAO",VLOOKUP("TOTAL - "&amp;B216,COMPOSICAO_AUX_1!$A:$J,10,FALSE),VLOOKUP(B216,I!$A:$D,4,FALSE))</f>
        <v>19.309999999999999</v>
      </c>
      <c r="J216" s="80">
        <f t="shared" si="7"/>
        <v>0.96</v>
      </c>
      <c r="K216" s="81"/>
      <c r="L216" s="3"/>
      <c r="M216" s="3"/>
      <c r="N216" s="3"/>
    </row>
    <row r="217" spans="1:14" ht="30" customHeight="1" x14ac:dyDescent="0.25">
      <c r="A217" s="16" t="s">
        <v>306</v>
      </c>
      <c r="B217" s="20">
        <v>40568</v>
      </c>
      <c r="C217" s="77" t="str">
        <f>VLOOKUP(B217,IF(A217="COMPOSICAO",S!$A:$D,I!$A:$D),2,FALSE)</f>
        <v>PREGO DE ACO POLIDO COM CABECA 22 X 48 (4 1/4 X 5)</v>
      </c>
      <c r="D217" s="77"/>
      <c r="E217" s="77"/>
      <c r="F217" s="77"/>
      <c r="G217" s="16" t="str">
        <f>VLOOKUP(B217,IF(A217="COMPOSICAO",S!$A:$D,I!$A:$D),3,FALSE)</f>
        <v>KG</v>
      </c>
      <c r="H217" s="22">
        <f>0.03</f>
        <v>0.03</v>
      </c>
      <c r="I217" s="17">
        <f>IF(A217="COMPOSICAO",VLOOKUP("TOTAL - "&amp;B217,COMPOSICAO_AUX_1!$A:$J,10,FALSE),VLOOKUP(B217,I!$A:$D,4,FALSE))</f>
        <v>19.47</v>
      </c>
      <c r="J217" s="80">
        <f t="shared" si="7"/>
        <v>0.57999999999999996</v>
      </c>
      <c r="K217" s="81"/>
      <c r="L217" s="3"/>
      <c r="M217" s="3"/>
      <c r="N217" s="3"/>
    </row>
    <row r="218" spans="1:14" ht="30" customHeight="1" x14ac:dyDescent="0.25">
      <c r="A218" s="16" t="s">
        <v>302</v>
      </c>
      <c r="B218" s="20">
        <v>88239</v>
      </c>
      <c r="C218" s="77" t="str">
        <f>VLOOKUP(B218,IF(A218="COMPOSICAO",S!$A:$D,I!$A:$D),2,FALSE)</f>
        <v>AJUDANTE DE CARPINTEIRO COM ENCARGOS COMPLEMENTARES</v>
      </c>
      <c r="D218" s="77"/>
      <c r="E218" s="77"/>
      <c r="F218" s="77"/>
      <c r="G218" s="16" t="str">
        <f>VLOOKUP(B218,IF(A218="COMPOSICAO",S!$A:$D,I!$A:$D),3,FALSE)</f>
        <v>H</v>
      </c>
      <c r="H218" s="22">
        <f>0.402</f>
        <v>0.40200000000000002</v>
      </c>
      <c r="I218" s="17">
        <f>IF(A218="COMPOSICAO",VLOOKUP("TOTAL - "&amp;B218,COMPOSICAO_AUX_1!$A:$J,10,FALSE),VLOOKUP(B218,I!$A:$D,4,FALSE))</f>
        <v>16.470000000000002</v>
      </c>
      <c r="J218" s="80">
        <f t="shared" si="7"/>
        <v>6.62</v>
      </c>
      <c r="K218" s="81"/>
      <c r="L218" s="3"/>
      <c r="M218" s="3"/>
      <c r="N218" s="3"/>
    </row>
    <row r="219" spans="1:14" ht="30" customHeight="1" x14ac:dyDescent="0.25">
      <c r="A219" s="16" t="s">
        <v>302</v>
      </c>
      <c r="B219" s="20">
        <v>88262</v>
      </c>
      <c r="C219" s="77" t="str">
        <f>VLOOKUP(B219,IF(A219="COMPOSICAO",S!$A:$D,I!$A:$D),2,FALSE)</f>
        <v>CARPINTEIRO DE FORMAS COM ENCARGOS COMPLEMENTARES</v>
      </c>
      <c r="D219" s="77"/>
      <c r="E219" s="77"/>
      <c r="F219" s="77"/>
      <c r="G219" s="16" t="str">
        <f>VLOOKUP(B219,IF(A219="COMPOSICAO",S!$A:$D,I!$A:$D),3,FALSE)</f>
        <v>H</v>
      </c>
      <c r="H219" s="22">
        <f>0.4</f>
        <v>0.4</v>
      </c>
      <c r="I219" s="17">
        <f>IF(A219="COMPOSICAO",VLOOKUP("TOTAL - "&amp;B219,COMPOSICAO_AUX_1!$A:$J,10,FALSE),VLOOKUP(B219,I!$A:$D,4,FALSE))</f>
        <v>19.649999999999999</v>
      </c>
      <c r="J219" s="80">
        <f t="shared" si="7"/>
        <v>7.86</v>
      </c>
      <c r="K219" s="81"/>
      <c r="L219" s="3"/>
      <c r="M219" s="3"/>
      <c r="N219" s="3"/>
    </row>
    <row r="220" spans="1:14" ht="45" customHeight="1" x14ac:dyDescent="0.25">
      <c r="A220" s="16" t="s">
        <v>302</v>
      </c>
      <c r="B220" s="20">
        <v>93281</v>
      </c>
      <c r="C220" s="77" t="str">
        <f>VLOOKUP(B220,IF(A220="COMPOSICAO",S!$A:$D,I!$A:$D),2,FALSE)</f>
        <v>GUINCHO ELÉTRICO DE COLUNA, CAPACIDADE 400 KG, COM MOTO FREIO, MOTOR TRIFÁSICO DE 1,25 CV - CHP DIURNO. AF_03/2016</v>
      </c>
      <c r="D220" s="77"/>
      <c r="E220" s="77"/>
      <c r="F220" s="77"/>
      <c r="G220" s="16" t="str">
        <f>VLOOKUP(B220,IF(A220="COMPOSICAO",S!$A:$D,I!$A:$D),3,FALSE)</f>
        <v>CHP</v>
      </c>
      <c r="H220" s="22">
        <f>0.0412</f>
        <v>4.1200000000000001E-2</v>
      </c>
      <c r="I220" s="17">
        <f>IF(A220="COMPOSICAO",VLOOKUP("TOTAL - "&amp;B220,COMPOSICAO_AUX_1!$A:$J,10,FALSE),VLOOKUP(B220,I!$A:$D,4,FALSE))</f>
        <v>24.28</v>
      </c>
      <c r="J220" s="80">
        <f t="shared" si="7"/>
        <v>1</v>
      </c>
      <c r="K220" s="81"/>
      <c r="L220" s="3"/>
      <c r="M220" s="3"/>
      <c r="N220" s="3"/>
    </row>
    <row r="221" spans="1:14" ht="45" customHeight="1" x14ac:dyDescent="0.25">
      <c r="A221" s="16" t="s">
        <v>302</v>
      </c>
      <c r="B221" s="20">
        <v>93282</v>
      </c>
      <c r="C221" s="77" t="str">
        <f>VLOOKUP(B221,IF(A221="COMPOSICAO",S!$A:$D,I!$A:$D),2,FALSE)</f>
        <v>GUINCHO ELÉTRICO DE COLUNA, CAPACIDADE 400 KG, COM MOTO FREIO, MOTOR TRIFÁSICO DE 1,25 CV - CHI DIURNO. AF_03/2016</v>
      </c>
      <c r="D221" s="77"/>
      <c r="E221" s="77"/>
      <c r="F221" s="77"/>
      <c r="G221" s="16" t="str">
        <f>VLOOKUP(B221,IF(A221="COMPOSICAO",S!$A:$D,I!$A:$D),3,FALSE)</f>
        <v>CHI</v>
      </c>
      <c r="H221" s="22">
        <f>0.0571</f>
        <v>5.7099999999999998E-2</v>
      </c>
      <c r="I221" s="17">
        <f>IF(A221="COMPOSICAO",VLOOKUP("TOTAL - "&amp;B221,COMPOSICAO_AUX_1!$A:$J,10,FALSE),VLOOKUP(B221,I!$A:$D,4,FALSE))</f>
        <v>23.41</v>
      </c>
      <c r="J221" s="80">
        <f t="shared" si="7"/>
        <v>1.33</v>
      </c>
      <c r="K221" s="81"/>
      <c r="L221" s="3"/>
      <c r="M221" s="3"/>
      <c r="N221" s="3"/>
    </row>
    <row r="222" spans="1:14" ht="15" customHeight="1" x14ac:dyDescent="0.25">
      <c r="A222" s="23" t="s">
        <v>303</v>
      </c>
      <c r="B222" s="24"/>
      <c r="C222" s="24"/>
      <c r="D222" s="24"/>
      <c r="E222" s="24"/>
      <c r="F222" s="24"/>
      <c r="G222" s="25"/>
      <c r="H222" s="26"/>
      <c r="I222" s="27"/>
      <c r="J222" s="80">
        <f>SUM(J211:K221)</f>
        <v>61.44</v>
      </c>
      <c r="K222" s="81"/>
    </row>
    <row r="223" spans="1:14" ht="15" customHeight="1" x14ac:dyDescent="0.25">
      <c r="A223" s="23" t="str">
        <f>"TAXA DE BDI ("&amp;BDI&amp;" %)"</f>
        <v>TAXA DE BDI (20,8 %)</v>
      </c>
      <c r="B223" s="24"/>
      <c r="C223" s="24"/>
      <c r="D223" s="24"/>
      <c r="E223" s="24"/>
      <c r="F223" s="24"/>
      <c r="G223" s="25"/>
      <c r="H223" s="26"/>
      <c r="I223" s="27"/>
      <c r="J223" s="80">
        <f>ROUND(J222*(BDI/100),2)</f>
        <v>12.78</v>
      </c>
      <c r="K223" s="81"/>
    </row>
    <row r="224" spans="1:14" ht="15" customHeight="1" x14ac:dyDescent="0.25">
      <c r="A224" s="23" t="s">
        <v>369</v>
      </c>
      <c r="B224" s="24"/>
      <c r="C224" s="24"/>
      <c r="D224" s="24"/>
      <c r="E224" s="24"/>
      <c r="F224" s="24"/>
      <c r="G224" s="25"/>
      <c r="H224" s="26"/>
      <c r="I224" s="27"/>
      <c r="J224" s="80">
        <f>SUM(J222:K223)</f>
        <v>74.22</v>
      </c>
      <c r="K224" s="81"/>
    </row>
    <row r="225" spans="1:14" ht="15" customHeight="1" x14ac:dyDescent="0.25">
      <c r="A225" s="3"/>
      <c r="B225" s="3"/>
      <c r="C225" s="3"/>
      <c r="D225" s="3"/>
      <c r="E225" s="3"/>
      <c r="F225" s="3"/>
      <c r="G225" s="3"/>
      <c r="H225" s="3"/>
      <c r="I225" s="3"/>
      <c r="J225" s="3"/>
      <c r="K225" s="3"/>
    </row>
    <row r="226" spans="1:14" ht="15" customHeight="1" x14ac:dyDescent="0.25">
      <c r="A226" s="10" t="s">
        <v>295</v>
      </c>
      <c r="B226" s="10" t="s">
        <v>31</v>
      </c>
      <c r="C226" s="82" t="s">
        <v>7</v>
      </c>
      <c r="D226" s="83"/>
      <c r="E226" s="83"/>
      <c r="F226" s="83"/>
      <c r="G226" s="6" t="s">
        <v>32</v>
      </c>
      <c r="H226" s="6" t="s">
        <v>296</v>
      </c>
      <c r="I226" s="6" t="s">
        <v>297</v>
      </c>
      <c r="J226" s="57" t="s">
        <v>9</v>
      </c>
      <c r="K226" s="58"/>
    </row>
    <row r="227" spans="1:14" ht="45" customHeight="1" x14ac:dyDescent="0.25">
      <c r="A227" s="6" t="s">
        <v>367</v>
      </c>
      <c r="B227" s="28">
        <v>94204</v>
      </c>
      <c r="C227" s="91" t="str">
        <f>VLOOKUP(B227,S!$A:$D,2,FALSE)</f>
        <v>TELHAMENTO COM TELHA CERÂMICA CAPA-CANAL, TIPO COLONIAL, COM MAIS DE 2 ÁGUAS, INCLUSO TRANSPORTE VERTICAL. AF_07/2019</v>
      </c>
      <c r="D227" s="91"/>
      <c r="E227" s="91"/>
      <c r="F227" s="92"/>
      <c r="G227" s="6" t="str">
        <f>VLOOKUP(B227,S!$A:$D,3,FALSE)</f>
        <v>M2</v>
      </c>
      <c r="H227" s="21"/>
      <c r="I227" s="21">
        <f>J233</f>
        <v>36.440000000000005</v>
      </c>
      <c r="J227" s="76"/>
      <c r="K227" s="72"/>
      <c r="L227" s="21">
        <f>VLOOKUP(B227,S!$A:$D,4,FALSE)</f>
        <v>36.44</v>
      </c>
      <c r="M227" s="6" t="str">
        <f>IF(ROUND((L227-I227),2)=0,"OK, confere com a tabela.",IF(ROUND((L227-I227),2)&lt;0,"ACIMA ("&amp;TEXT(ROUND(I227*100/L227,4),"0,0000")&amp;" %) da tabela.","ABAIXO ("&amp;TEXT(ROUND(I227*100/L227,4),"0,0000")&amp;" %) da tabela."))</f>
        <v>OK, confere com a tabela.</v>
      </c>
    </row>
    <row r="228" spans="1:14" ht="60" customHeight="1" x14ac:dyDescent="0.25">
      <c r="A228" s="16" t="s">
        <v>306</v>
      </c>
      <c r="B228" s="20">
        <v>7173</v>
      </c>
      <c r="C228" s="77" t="str">
        <f>VLOOKUP(B228,IF(A228="COMPOSICAO",S!$A:$D,I!$A:$D),2,FALSE)</f>
        <v>TELHA DE BARRO / CERAMICA, NAO ESMALTADA, TIPO COLONIAL, CANAL, PLAN, PAULISTA, COMPRIMENTO DE *44 A 50* CM, RENDIMENTO DE COBERTURA DE *26* TELHAS/M2</v>
      </c>
      <c r="D228" s="77"/>
      <c r="E228" s="77"/>
      <c r="F228" s="77"/>
      <c r="G228" s="16" t="str">
        <f>VLOOKUP(B228,IF(A228="COMPOSICAO",S!$A:$D,I!$A:$D),3,FALSE)</f>
        <v>MIL</v>
      </c>
      <c r="H228" s="22">
        <f>0.0275</f>
        <v>2.75E-2</v>
      </c>
      <c r="I228" s="17">
        <f>IF(A228="COMPOSICAO",VLOOKUP("TOTAL - "&amp;B228,COMPOSICAO_AUX_1!$A:$J,10,FALSE),VLOOKUP(B228,I!$A:$D,4,FALSE))</f>
        <v>750</v>
      </c>
      <c r="J228" s="80">
        <f>TRUNC(H228*I228,2)</f>
        <v>20.62</v>
      </c>
      <c r="K228" s="81"/>
      <c r="L228" s="3"/>
      <c r="M228" s="3"/>
      <c r="N228" s="3"/>
    </row>
    <row r="229" spans="1:14" ht="15" customHeight="1" x14ac:dyDescent="0.25">
      <c r="A229" s="16" t="s">
        <v>302</v>
      </c>
      <c r="B229" s="20">
        <v>88316</v>
      </c>
      <c r="C229" s="77" t="str">
        <f>VLOOKUP(B229,IF(A229="COMPOSICAO",S!$A:$D,I!$A:$D),2,FALSE)</f>
        <v>SERVENTE COM ENCARGOS COMPLEMENTARES</v>
      </c>
      <c r="D229" s="77"/>
      <c r="E229" s="77"/>
      <c r="F229" s="77"/>
      <c r="G229" s="16" t="str">
        <f>VLOOKUP(B229,IF(A229="COMPOSICAO",S!$A:$D,I!$A:$D),3,FALSE)</f>
        <v>H</v>
      </c>
      <c r="H229" s="22">
        <f>0.521</f>
        <v>0.52100000000000002</v>
      </c>
      <c r="I229" s="17">
        <f>IF(A229="COMPOSICAO",VLOOKUP("TOTAL - "&amp;B229,COMPOSICAO_AUX_1!$A:$J,10,FALSE),VLOOKUP(B229,I!$A:$D,4,FALSE))</f>
        <v>15.35</v>
      </c>
      <c r="J229" s="80">
        <f>TRUNC(H229*I229,2)</f>
        <v>7.99</v>
      </c>
      <c r="K229" s="81"/>
      <c r="L229" s="3"/>
      <c r="M229" s="3"/>
      <c r="N229" s="3"/>
    </row>
    <row r="230" spans="1:14" ht="15" customHeight="1" x14ac:dyDescent="0.25">
      <c r="A230" s="16" t="s">
        <v>302</v>
      </c>
      <c r="B230" s="20">
        <v>88323</v>
      </c>
      <c r="C230" s="77" t="str">
        <f>VLOOKUP(B230,IF(A230="COMPOSICAO",S!$A:$D,I!$A:$D),2,FALSE)</f>
        <v>TELHADISTA COM ENCARGOS COMPLEMENTARES</v>
      </c>
      <c r="D230" s="77"/>
      <c r="E230" s="77"/>
      <c r="F230" s="77"/>
      <c r="G230" s="16" t="str">
        <f>VLOOKUP(B230,IF(A230="COMPOSICAO",S!$A:$D,I!$A:$D),3,FALSE)</f>
        <v>H</v>
      </c>
      <c r="H230" s="22">
        <f>0.254</f>
        <v>0.254</v>
      </c>
      <c r="I230" s="17">
        <f>IF(A230="COMPOSICAO",VLOOKUP("TOTAL - "&amp;B230,COMPOSICAO_AUX_1!$A:$J,10,FALSE),VLOOKUP(B230,I!$A:$D,4,FALSE))</f>
        <v>22.56</v>
      </c>
      <c r="J230" s="80">
        <f>TRUNC(H230*I230,2)</f>
        <v>5.73</v>
      </c>
      <c r="K230" s="81"/>
      <c r="L230" s="3"/>
      <c r="M230" s="3"/>
      <c r="N230" s="3"/>
    </row>
    <row r="231" spans="1:14" ht="45" customHeight="1" x14ac:dyDescent="0.25">
      <c r="A231" s="16" t="s">
        <v>302</v>
      </c>
      <c r="B231" s="20">
        <v>93281</v>
      </c>
      <c r="C231" s="77" t="str">
        <f>VLOOKUP(B231,IF(A231="COMPOSICAO",S!$A:$D,I!$A:$D),2,FALSE)</f>
        <v>GUINCHO ELÉTRICO DE COLUNA, CAPACIDADE 400 KG, COM MOTO FREIO, MOTOR TRIFÁSICO DE 1,25 CV - CHP DIURNO. AF_03/2016</v>
      </c>
      <c r="D231" s="77"/>
      <c r="E231" s="77"/>
      <c r="F231" s="77"/>
      <c r="G231" s="16" t="str">
        <f>VLOOKUP(B231,IF(A231="COMPOSICAO",S!$A:$D,I!$A:$D),3,FALSE)</f>
        <v>CHP</v>
      </c>
      <c r="H231" s="22">
        <f>0.0372</f>
        <v>3.7199999999999997E-2</v>
      </c>
      <c r="I231" s="17">
        <f>IF(A231="COMPOSICAO",VLOOKUP("TOTAL - "&amp;B231,COMPOSICAO_AUX_1!$A:$J,10,FALSE),VLOOKUP(B231,I!$A:$D,4,FALSE))</f>
        <v>24.28</v>
      </c>
      <c r="J231" s="80">
        <f>TRUNC(H231*I231,2)</f>
        <v>0.9</v>
      </c>
      <c r="K231" s="81"/>
      <c r="L231" s="3"/>
      <c r="M231" s="3"/>
      <c r="N231" s="3"/>
    </row>
    <row r="232" spans="1:14" ht="45" customHeight="1" x14ac:dyDescent="0.25">
      <c r="A232" s="16" t="s">
        <v>302</v>
      </c>
      <c r="B232" s="20">
        <v>93282</v>
      </c>
      <c r="C232" s="77" t="str">
        <f>VLOOKUP(B232,IF(A232="COMPOSICAO",S!$A:$D,I!$A:$D),2,FALSE)</f>
        <v>GUINCHO ELÉTRICO DE COLUNA, CAPACIDADE 400 KG, COM MOTO FREIO, MOTOR TRIFÁSICO DE 1,25 CV - CHI DIURNO. AF_03/2016</v>
      </c>
      <c r="D232" s="77"/>
      <c r="E232" s="77"/>
      <c r="F232" s="77"/>
      <c r="G232" s="16" t="str">
        <f>VLOOKUP(B232,IF(A232="COMPOSICAO",S!$A:$D,I!$A:$D),3,FALSE)</f>
        <v>CHI</v>
      </c>
      <c r="H232" s="22">
        <f>0.0516</f>
        <v>5.16E-2</v>
      </c>
      <c r="I232" s="17">
        <f>IF(A232="COMPOSICAO",VLOOKUP("TOTAL - "&amp;B232,COMPOSICAO_AUX_1!$A:$J,10,FALSE),VLOOKUP(B232,I!$A:$D,4,FALSE))</f>
        <v>23.41</v>
      </c>
      <c r="J232" s="80">
        <f>TRUNC(H232*I232,2)</f>
        <v>1.2</v>
      </c>
      <c r="K232" s="81"/>
      <c r="L232" s="3"/>
      <c r="M232" s="3"/>
      <c r="N232" s="3"/>
    </row>
    <row r="233" spans="1:14" ht="15" customHeight="1" x14ac:dyDescent="0.25">
      <c r="A233" s="23" t="s">
        <v>303</v>
      </c>
      <c r="B233" s="24"/>
      <c r="C233" s="24"/>
      <c r="D233" s="24"/>
      <c r="E233" s="24"/>
      <c r="F233" s="24"/>
      <c r="G233" s="25"/>
      <c r="H233" s="26"/>
      <c r="I233" s="27"/>
      <c r="J233" s="80">
        <f>SUM(J227:K232)</f>
        <v>36.440000000000005</v>
      </c>
      <c r="K233" s="81"/>
    </row>
    <row r="234" spans="1:14" ht="15" customHeight="1" x14ac:dyDescent="0.25">
      <c r="A234" s="23" t="str">
        <f>"TAXA DE BDI ("&amp;BDI&amp;" %)"</f>
        <v>TAXA DE BDI (20,8 %)</v>
      </c>
      <c r="B234" s="24"/>
      <c r="C234" s="24"/>
      <c r="D234" s="24"/>
      <c r="E234" s="24"/>
      <c r="F234" s="24"/>
      <c r="G234" s="25"/>
      <c r="H234" s="26"/>
      <c r="I234" s="27"/>
      <c r="J234" s="80">
        <f>ROUND(J233*(BDI/100),2)</f>
        <v>7.58</v>
      </c>
      <c r="K234" s="81"/>
    </row>
    <row r="235" spans="1:14" ht="15" customHeight="1" x14ac:dyDescent="0.25">
      <c r="A235" s="23" t="s">
        <v>370</v>
      </c>
      <c r="B235" s="24"/>
      <c r="C235" s="24"/>
      <c r="D235" s="24"/>
      <c r="E235" s="24"/>
      <c r="F235" s="24"/>
      <c r="G235" s="25"/>
      <c r="H235" s="26"/>
      <c r="I235" s="27"/>
      <c r="J235" s="80">
        <f>SUM(J233:K234)</f>
        <v>44.02</v>
      </c>
      <c r="K235" s="81"/>
    </row>
    <row r="236" spans="1:14" ht="15" customHeight="1" x14ac:dyDescent="0.25">
      <c r="A236" s="3"/>
      <c r="B236" s="3"/>
      <c r="C236" s="3"/>
      <c r="D236" s="3"/>
      <c r="E236" s="3"/>
      <c r="F236" s="3"/>
      <c r="G236" s="3"/>
      <c r="H236" s="3"/>
      <c r="I236" s="3"/>
      <c r="J236" s="3"/>
      <c r="K236" s="3"/>
    </row>
    <row r="237" spans="1:14" ht="15" customHeight="1" x14ac:dyDescent="0.25">
      <c r="A237" s="10" t="s">
        <v>295</v>
      </c>
      <c r="B237" s="10" t="s">
        <v>31</v>
      </c>
      <c r="C237" s="82" t="s">
        <v>7</v>
      </c>
      <c r="D237" s="83"/>
      <c r="E237" s="83"/>
      <c r="F237" s="83"/>
      <c r="G237" s="6" t="s">
        <v>32</v>
      </c>
      <c r="H237" s="6" t="s">
        <v>296</v>
      </c>
      <c r="I237" s="6" t="s">
        <v>297</v>
      </c>
      <c r="J237" s="57" t="s">
        <v>9</v>
      </c>
      <c r="K237" s="58"/>
    </row>
    <row r="238" spans="1:14" ht="75" customHeight="1" x14ac:dyDescent="0.25">
      <c r="A238" s="6" t="s">
        <v>360</v>
      </c>
      <c r="B238" s="28">
        <v>87523</v>
      </c>
      <c r="C238" s="91" t="str">
        <f>VLOOKUP(B238,S!$A:$D,2,FALSE)</f>
        <v>ALVENARIA DE VEDAÇÃO DE BLOCOS CERÂMICOS FURADOS NA HORIZONTAL DE 9X14X19CM (ESPESSURA 9CM) DE PAREDES COM ÁREA LÍQUIDA MAIOR OU IGUAL A 6M² COM VÃOS E ARGAMASSA DE ASSENTAMENTO COM PREPARO EM BETONEIRA. AF_06/2014</v>
      </c>
      <c r="D238" s="91"/>
      <c r="E238" s="91"/>
      <c r="F238" s="92"/>
      <c r="G238" s="6" t="str">
        <f>VLOOKUP(B238,S!$A:$D,3,FALSE)</f>
        <v>M2</v>
      </c>
      <c r="H238" s="21"/>
      <c r="I238" s="21">
        <f>J245</f>
        <v>80.84</v>
      </c>
      <c r="J238" s="76"/>
      <c r="K238" s="72"/>
      <c r="L238" s="21">
        <f>VLOOKUP(B238,S!$A:$D,4,FALSE)</f>
        <v>80.84</v>
      </c>
      <c r="M238" s="6" t="str">
        <f>IF(ROUND((L238-I238),2)=0,"OK, confere com a tabela.",IF(ROUND((L238-I238),2)&lt;0,"ACIMA ("&amp;TEXT(ROUND(I238*100/L238,4),"0,0000")&amp;" %) da tabela.","ABAIXO ("&amp;TEXT(ROUND(I238*100/L238,4),"0,0000")&amp;" %) da tabela."))</f>
        <v>OK, confere com a tabela.</v>
      </c>
    </row>
    <row r="239" spans="1:14" ht="30" customHeight="1" x14ac:dyDescent="0.25">
      <c r="A239" s="16" t="s">
        <v>306</v>
      </c>
      <c r="B239" s="20">
        <v>7267</v>
      </c>
      <c r="C239" s="77" t="str">
        <f>VLOOKUP(B239,IF(A239="COMPOSICAO",S!$A:$D,I!$A:$D),2,FALSE)</f>
        <v>BLOCO CERAMICO VAZADO PARA ALVENARIA DE VEDACAO, 6 FUROS, DE 9 X 14 X 19 CM (L X A X C)</v>
      </c>
      <c r="D239" s="77"/>
      <c r="E239" s="77"/>
      <c r="F239" s="77"/>
      <c r="G239" s="16" t="str">
        <f>VLOOKUP(B239,IF(A239="COMPOSICAO",S!$A:$D,I!$A:$D),3,FALSE)</f>
        <v>UN</v>
      </c>
      <c r="H239" s="22">
        <f>37.74</f>
        <v>37.74</v>
      </c>
      <c r="I239" s="17">
        <f>IF(A239="COMPOSICAO",VLOOKUP("TOTAL - "&amp;B239,COMPOSICAO_AUX_1!$A:$J,10,FALSE),VLOOKUP(B239,I!$A:$D,4,FALSE))</f>
        <v>0.68</v>
      </c>
      <c r="J239" s="80">
        <f t="shared" ref="J239:J244" si="8">TRUNC(H239*I239,2)</f>
        <v>25.66</v>
      </c>
      <c r="K239" s="81"/>
      <c r="L239" s="3"/>
      <c r="M239" s="3"/>
      <c r="N239" s="3"/>
    </row>
    <row r="240" spans="1:14" ht="45" customHeight="1" x14ac:dyDescent="0.25">
      <c r="A240" s="16" t="s">
        <v>306</v>
      </c>
      <c r="B240" s="20">
        <v>34557</v>
      </c>
      <c r="C240" s="77" t="str">
        <f>VLOOKUP(B240,IF(A240="COMPOSICAO",S!$A:$D,I!$A:$D),2,FALSE)</f>
        <v>TELA DE ACO SOLDADA GALVANIZADA/ZINCADA PARA ALVENARIA, FIO D = *1,20 A 1,70* MM, MALHA 15 X 15 MM, (C X L) *50 X 7,5* CM</v>
      </c>
      <c r="D240" s="77"/>
      <c r="E240" s="77"/>
      <c r="F240" s="77"/>
      <c r="G240" s="16" t="str">
        <f>VLOOKUP(B240,IF(A240="COMPOSICAO",S!$A:$D,I!$A:$D),3,FALSE)</f>
        <v>M</v>
      </c>
      <c r="H240" s="22">
        <f>0.58</f>
        <v>0.57999999999999996</v>
      </c>
      <c r="I240" s="17">
        <f>IF(A240="COMPOSICAO",VLOOKUP("TOTAL - "&amp;B240,COMPOSICAO_AUX_1!$A:$J,10,FALSE),VLOOKUP(B240,I!$A:$D,4,FALSE))</f>
        <v>3.05</v>
      </c>
      <c r="J240" s="80">
        <f t="shared" si="8"/>
        <v>1.76</v>
      </c>
      <c r="K240" s="81"/>
      <c r="L240" s="3"/>
      <c r="M240" s="3"/>
      <c r="N240" s="3"/>
    </row>
    <row r="241" spans="1:14" ht="30" customHeight="1" x14ac:dyDescent="0.25">
      <c r="A241" s="16" t="s">
        <v>306</v>
      </c>
      <c r="B241" s="20">
        <v>37395</v>
      </c>
      <c r="C241" s="77" t="str">
        <f>VLOOKUP(B241,IF(A241="COMPOSICAO",S!$A:$D,I!$A:$D),2,FALSE)</f>
        <v>PINO DE ACO COM FURO, HASTE = 27 MM (ACAO DIRETA)</v>
      </c>
      <c r="D241" s="77"/>
      <c r="E241" s="77"/>
      <c r="F241" s="77"/>
      <c r="G241" s="16" t="str">
        <f>VLOOKUP(B241,IF(A241="COMPOSICAO",S!$A:$D,I!$A:$D),3,FALSE)</f>
        <v>CENTO</v>
      </c>
      <c r="H241" s="22">
        <f>0.0069</f>
        <v>6.8999999999999999E-3</v>
      </c>
      <c r="I241" s="17">
        <f>IF(A241="COMPOSICAO",VLOOKUP("TOTAL - "&amp;B241,COMPOSICAO_AUX_1!$A:$J,10,FALSE),VLOOKUP(B241,I!$A:$D,4,FALSE))</f>
        <v>38.39</v>
      </c>
      <c r="J241" s="80">
        <f t="shared" si="8"/>
        <v>0.26</v>
      </c>
      <c r="K241" s="81"/>
      <c r="L241" s="3"/>
      <c r="M241" s="3"/>
      <c r="N241" s="3"/>
    </row>
    <row r="242" spans="1:14" ht="75" customHeight="1" x14ac:dyDescent="0.25">
      <c r="A242" s="16" t="s">
        <v>302</v>
      </c>
      <c r="B242" s="20">
        <v>87292</v>
      </c>
      <c r="C242" s="77" t="str">
        <f>VLOOKUP(B242,IF(A242="COMPOSICAO",S!$A:$D,I!$A:$D),2,FALSE)</f>
        <v>ARGAMASSA TRAÇO 1:2:8 (EM VOLUME DE CIMENTO, CAL E AREIA MÉDIA ÚMIDA) PARA EMBOÇO/MASSA ÚNICA/ASSENTAMENTO DE ALVENARIA DE VEDAÇÃO, PREPARO MECÂNICO COM BETONEIRA 400 L. AF_08/2019</v>
      </c>
      <c r="D242" s="77"/>
      <c r="E242" s="77"/>
      <c r="F242" s="77"/>
      <c r="G242" s="16" t="str">
        <f>VLOOKUP(B242,IF(A242="COMPOSICAO",S!$A:$D,I!$A:$D),3,FALSE)</f>
        <v>M3</v>
      </c>
      <c r="H242" s="22">
        <f>0.0106</f>
        <v>1.06E-2</v>
      </c>
      <c r="I242" s="17">
        <f>IF(A242="COMPOSICAO",VLOOKUP("TOTAL - "&amp;B242,COMPOSICAO_AUX_1!$A:$J,10,FALSE),VLOOKUP(B242,I!$A:$D,4,FALSE))</f>
        <v>469.65000000000003</v>
      </c>
      <c r="J242" s="80">
        <f t="shared" si="8"/>
        <v>4.97</v>
      </c>
      <c r="K242" s="81"/>
      <c r="L242" s="3"/>
      <c r="M242" s="3"/>
      <c r="N242" s="3"/>
    </row>
    <row r="243" spans="1:14" ht="15" customHeight="1" x14ac:dyDescent="0.25">
      <c r="A243" s="16" t="s">
        <v>302</v>
      </c>
      <c r="B243" s="20">
        <v>88309</v>
      </c>
      <c r="C243" s="77" t="str">
        <f>VLOOKUP(B243,IF(A243="COMPOSICAO",S!$A:$D,I!$A:$D),2,FALSE)</f>
        <v>PEDREIRO COM ENCARGOS COMPLEMENTARES</v>
      </c>
      <c r="D243" s="77"/>
      <c r="E243" s="77"/>
      <c r="F243" s="77"/>
      <c r="G243" s="16" t="str">
        <f>VLOOKUP(B243,IF(A243="COMPOSICAO",S!$A:$D,I!$A:$D),3,FALSE)</f>
        <v>H</v>
      </c>
      <c r="H243" s="22">
        <f>1.751</f>
        <v>1.7509999999999999</v>
      </c>
      <c r="I243" s="17">
        <f>IF(A243="COMPOSICAO",VLOOKUP("TOTAL - "&amp;B243,COMPOSICAO_AUX_1!$A:$J,10,FALSE),VLOOKUP(B243,I!$A:$D,4,FALSE))</f>
        <v>19.849999999999994</v>
      </c>
      <c r="J243" s="80">
        <f t="shared" si="8"/>
        <v>34.75</v>
      </c>
      <c r="K243" s="81"/>
      <c r="L243" s="3"/>
      <c r="M243" s="3"/>
      <c r="N243" s="3"/>
    </row>
    <row r="244" spans="1:14" ht="15" customHeight="1" x14ac:dyDescent="0.25">
      <c r="A244" s="16" t="s">
        <v>302</v>
      </c>
      <c r="B244" s="20">
        <v>88316</v>
      </c>
      <c r="C244" s="77" t="str">
        <f>VLOOKUP(B244,IF(A244="COMPOSICAO",S!$A:$D,I!$A:$D),2,FALSE)</f>
        <v>SERVENTE COM ENCARGOS COMPLEMENTARES</v>
      </c>
      <c r="D244" s="77"/>
      <c r="E244" s="77"/>
      <c r="F244" s="77"/>
      <c r="G244" s="16" t="str">
        <f>VLOOKUP(B244,IF(A244="COMPOSICAO",S!$A:$D,I!$A:$D),3,FALSE)</f>
        <v>H</v>
      </c>
      <c r="H244" s="22">
        <f>0.876</f>
        <v>0.876</v>
      </c>
      <c r="I244" s="17">
        <f>IF(A244="COMPOSICAO",VLOOKUP("TOTAL - "&amp;B244,COMPOSICAO_AUX_1!$A:$J,10,FALSE),VLOOKUP(B244,I!$A:$D,4,FALSE))</f>
        <v>15.35</v>
      </c>
      <c r="J244" s="80">
        <f t="shared" si="8"/>
        <v>13.44</v>
      </c>
      <c r="K244" s="81"/>
      <c r="L244" s="3"/>
      <c r="M244" s="3"/>
      <c r="N244" s="3"/>
    </row>
    <row r="245" spans="1:14" ht="15" customHeight="1" x14ac:dyDescent="0.25">
      <c r="A245" s="23" t="s">
        <v>303</v>
      </c>
      <c r="B245" s="24"/>
      <c r="C245" s="24"/>
      <c r="D245" s="24"/>
      <c r="E245" s="24"/>
      <c r="F245" s="24"/>
      <c r="G245" s="25"/>
      <c r="H245" s="26"/>
      <c r="I245" s="27"/>
      <c r="J245" s="80">
        <f>SUM(J238:K244)</f>
        <v>80.84</v>
      </c>
      <c r="K245" s="81"/>
    </row>
    <row r="246" spans="1:14" ht="15" customHeight="1" x14ac:dyDescent="0.25">
      <c r="A246" s="23" t="str">
        <f>"TAXA DE BDI ("&amp;BDI&amp;" %)"</f>
        <v>TAXA DE BDI (20,8 %)</v>
      </c>
      <c r="B246" s="24"/>
      <c r="C246" s="24"/>
      <c r="D246" s="24"/>
      <c r="E246" s="24"/>
      <c r="F246" s="24"/>
      <c r="G246" s="25"/>
      <c r="H246" s="26"/>
      <c r="I246" s="27"/>
      <c r="J246" s="80">
        <f>ROUND(J245*(BDI/100),2)</f>
        <v>16.809999999999999</v>
      </c>
      <c r="K246" s="81"/>
    </row>
    <row r="247" spans="1:14" ht="15" customHeight="1" x14ac:dyDescent="0.25">
      <c r="A247" s="23" t="s">
        <v>371</v>
      </c>
      <c r="B247" s="24"/>
      <c r="C247" s="24"/>
      <c r="D247" s="24"/>
      <c r="E247" s="24"/>
      <c r="F247" s="24"/>
      <c r="G247" s="25"/>
      <c r="H247" s="26"/>
      <c r="I247" s="27"/>
      <c r="J247" s="80">
        <f>SUM(J245:K246)</f>
        <v>97.65</v>
      </c>
      <c r="K247" s="81"/>
    </row>
    <row r="248" spans="1:14" ht="15" customHeight="1" x14ac:dyDescent="0.25">
      <c r="A248" s="3"/>
      <c r="B248" s="3"/>
      <c r="C248" s="3"/>
      <c r="D248" s="3"/>
      <c r="E248" s="3"/>
      <c r="F248" s="3"/>
      <c r="G248" s="3"/>
      <c r="H248" s="3"/>
      <c r="I248" s="3"/>
      <c r="J248" s="3"/>
      <c r="K248" s="3"/>
    </row>
    <row r="249" spans="1:14" ht="15" customHeight="1" x14ac:dyDescent="0.25">
      <c r="A249" s="10" t="s">
        <v>295</v>
      </c>
      <c r="B249" s="10" t="s">
        <v>31</v>
      </c>
      <c r="C249" s="82" t="s">
        <v>7</v>
      </c>
      <c r="D249" s="83"/>
      <c r="E249" s="83"/>
      <c r="F249" s="83"/>
      <c r="G249" s="6" t="s">
        <v>32</v>
      </c>
      <c r="H249" s="6" t="s">
        <v>296</v>
      </c>
      <c r="I249" s="6" t="s">
        <v>297</v>
      </c>
      <c r="J249" s="57" t="s">
        <v>9</v>
      </c>
      <c r="K249" s="58"/>
    </row>
    <row r="250" spans="1:14" ht="60" customHeight="1" x14ac:dyDescent="0.25">
      <c r="A250" s="6" t="s">
        <v>372</v>
      </c>
      <c r="B250" s="28">
        <v>87905</v>
      </c>
      <c r="C250" s="91" t="str">
        <f>VLOOKUP(B250,S!$A:$D,2,FALSE)</f>
        <v>CHAPISCO APLICADO EM ALVENARIA (COM PRESENÇA DE VÃOS) E ESTRUTURAS DE CONCRETO DE FACHADA, COM COLHER DE PEDREIRO.  ARGAMASSA TRAÇO 1:3 COM PREPARO EM BETONEIRA 400L. AF_06/2014</v>
      </c>
      <c r="D250" s="91"/>
      <c r="E250" s="91"/>
      <c r="F250" s="92"/>
      <c r="G250" s="6" t="str">
        <f>VLOOKUP(B250,S!$A:$D,3,FALSE)</f>
        <v>M2</v>
      </c>
      <c r="H250" s="21"/>
      <c r="I250" s="21">
        <f>J254</f>
        <v>6.85</v>
      </c>
      <c r="J250" s="76"/>
      <c r="K250" s="72"/>
      <c r="L250" s="21">
        <f>VLOOKUP(B250,S!$A:$D,4,FALSE)</f>
        <v>6.85</v>
      </c>
      <c r="M250" s="6" t="str">
        <f>IF(ROUND((L250-I250),2)=0,"OK, confere com a tabela.",IF(ROUND((L250-I250),2)&lt;0,"ACIMA ("&amp;TEXT(ROUND(I250*100/L250,4),"0,0000")&amp;" %) da tabela.","ABAIXO ("&amp;TEXT(ROUND(I250*100/L250,4),"0,0000")&amp;" %) da tabela."))</f>
        <v>OK, confere com a tabela.</v>
      </c>
    </row>
    <row r="251" spans="1:14" ht="60" customHeight="1" x14ac:dyDescent="0.25">
      <c r="A251" s="16" t="s">
        <v>302</v>
      </c>
      <c r="B251" s="20">
        <v>87313</v>
      </c>
      <c r="C251" s="77" t="str">
        <f>VLOOKUP(B251,IF(A251="COMPOSICAO",S!$A:$D,I!$A:$D),2,FALSE)</f>
        <v>ARGAMASSA TRAÇO 1:3 (EM VOLUME DE CIMENTO E AREIA GROSSA ÚMIDA) PARA CHAPISCO CONVENCIONAL, PREPARO MECÂNICO COM BETONEIRA 400 L. AF_08/2019</v>
      </c>
      <c r="D251" s="77"/>
      <c r="E251" s="77"/>
      <c r="F251" s="77"/>
      <c r="G251" s="16" t="str">
        <f>VLOOKUP(B251,IF(A251="COMPOSICAO",S!$A:$D,I!$A:$D),3,FALSE)</f>
        <v>M3</v>
      </c>
      <c r="H251" s="22">
        <f>0.0042</f>
        <v>4.1999999999999997E-3</v>
      </c>
      <c r="I251" s="17">
        <f>IF(A251="COMPOSICAO",VLOOKUP("TOTAL - "&amp;B251,COMPOSICAO_AUX_1!$A:$J,10,FALSE),VLOOKUP(B251,I!$A:$D,4,FALSE))</f>
        <v>437.84000000000003</v>
      </c>
      <c r="J251" s="80">
        <f>TRUNC(H251*I251,2)</f>
        <v>1.83</v>
      </c>
      <c r="K251" s="81"/>
      <c r="L251" s="3"/>
      <c r="M251" s="3"/>
      <c r="N251" s="3"/>
    </row>
    <row r="252" spans="1:14" ht="15" customHeight="1" x14ac:dyDescent="0.25">
      <c r="A252" s="16" t="s">
        <v>302</v>
      </c>
      <c r="B252" s="20">
        <v>88309</v>
      </c>
      <c r="C252" s="77" t="str">
        <f>VLOOKUP(B252,IF(A252="COMPOSICAO",S!$A:$D,I!$A:$D),2,FALSE)</f>
        <v>PEDREIRO COM ENCARGOS COMPLEMENTARES</v>
      </c>
      <c r="D252" s="77"/>
      <c r="E252" s="77"/>
      <c r="F252" s="77"/>
      <c r="G252" s="16" t="str">
        <f>VLOOKUP(B252,IF(A252="COMPOSICAO",S!$A:$D,I!$A:$D),3,FALSE)</f>
        <v>H</v>
      </c>
      <c r="H252" s="22">
        <f>0.183</f>
        <v>0.183</v>
      </c>
      <c r="I252" s="17">
        <f>IF(A252="COMPOSICAO",VLOOKUP("TOTAL - "&amp;B252,COMPOSICAO_AUX_1!$A:$J,10,FALSE),VLOOKUP(B252,I!$A:$D,4,FALSE))</f>
        <v>19.849999999999994</v>
      </c>
      <c r="J252" s="80">
        <f>TRUNC(H252*I252,2)</f>
        <v>3.63</v>
      </c>
      <c r="K252" s="81"/>
      <c r="L252" s="3"/>
      <c r="M252" s="3"/>
      <c r="N252" s="3"/>
    </row>
    <row r="253" spans="1:14" ht="15" customHeight="1" x14ac:dyDescent="0.25">
      <c r="A253" s="16" t="s">
        <v>302</v>
      </c>
      <c r="B253" s="20">
        <v>88316</v>
      </c>
      <c r="C253" s="77" t="str">
        <f>VLOOKUP(B253,IF(A253="COMPOSICAO",S!$A:$D,I!$A:$D),2,FALSE)</f>
        <v>SERVENTE COM ENCARGOS COMPLEMENTARES</v>
      </c>
      <c r="D253" s="77"/>
      <c r="E253" s="77"/>
      <c r="F253" s="77"/>
      <c r="G253" s="16" t="str">
        <f>VLOOKUP(B253,IF(A253="COMPOSICAO",S!$A:$D,I!$A:$D),3,FALSE)</f>
        <v>H</v>
      </c>
      <c r="H253" s="22">
        <f>0.091</f>
        <v>9.0999999999999998E-2</v>
      </c>
      <c r="I253" s="17">
        <f>IF(A253="COMPOSICAO",VLOOKUP("TOTAL - "&amp;B253,COMPOSICAO_AUX_1!$A:$J,10,FALSE),VLOOKUP(B253,I!$A:$D,4,FALSE))</f>
        <v>15.35</v>
      </c>
      <c r="J253" s="80">
        <f>TRUNC(H253*I253,2)</f>
        <v>1.39</v>
      </c>
      <c r="K253" s="81"/>
      <c r="L253" s="3"/>
      <c r="M253" s="3"/>
      <c r="N253" s="3"/>
    </row>
    <row r="254" spans="1:14" ht="15" customHeight="1" x14ac:dyDescent="0.25">
      <c r="A254" s="23" t="s">
        <v>303</v>
      </c>
      <c r="B254" s="24"/>
      <c r="C254" s="24"/>
      <c r="D254" s="24"/>
      <c r="E254" s="24"/>
      <c r="F254" s="24"/>
      <c r="G254" s="25"/>
      <c r="H254" s="26"/>
      <c r="I254" s="27"/>
      <c r="J254" s="80">
        <f>SUM(J250:K253)</f>
        <v>6.85</v>
      </c>
      <c r="K254" s="81"/>
    </row>
    <row r="255" spans="1:14" ht="15" customHeight="1" x14ac:dyDescent="0.25">
      <c r="A255" s="23" t="str">
        <f>"TAXA DE BDI ("&amp;BDI&amp;" %)"</f>
        <v>TAXA DE BDI (20,8 %)</v>
      </c>
      <c r="B255" s="24"/>
      <c r="C255" s="24"/>
      <c r="D255" s="24"/>
      <c r="E255" s="24"/>
      <c r="F255" s="24"/>
      <c r="G255" s="25"/>
      <c r="H255" s="26"/>
      <c r="I255" s="27"/>
      <c r="J255" s="80">
        <f>ROUND(J254*(BDI/100),2)</f>
        <v>1.42</v>
      </c>
      <c r="K255" s="81"/>
    </row>
    <row r="256" spans="1:14" ht="15" customHeight="1" x14ac:dyDescent="0.25">
      <c r="A256" s="23" t="s">
        <v>373</v>
      </c>
      <c r="B256" s="24"/>
      <c r="C256" s="24"/>
      <c r="D256" s="24"/>
      <c r="E256" s="24"/>
      <c r="F256" s="24"/>
      <c r="G256" s="25"/>
      <c r="H256" s="26"/>
      <c r="I256" s="27"/>
      <c r="J256" s="80">
        <f>SUM(J254:K255)</f>
        <v>8.27</v>
      </c>
      <c r="K256" s="81"/>
    </row>
    <row r="257" spans="1:14" ht="15" customHeight="1" x14ac:dyDescent="0.25">
      <c r="A257" s="3"/>
      <c r="B257" s="3"/>
      <c r="C257" s="3"/>
      <c r="D257" s="3"/>
      <c r="E257" s="3"/>
      <c r="F257" s="3"/>
      <c r="G257" s="3"/>
      <c r="H257" s="3"/>
      <c r="I257" s="3"/>
      <c r="J257" s="3"/>
      <c r="K257" s="3"/>
    </row>
    <row r="258" spans="1:14" ht="15" customHeight="1" x14ac:dyDescent="0.25">
      <c r="A258" s="10" t="s">
        <v>295</v>
      </c>
      <c r="B258" s="10" t="s">
        <v>31</v>
      </c>
      <c r="C258" s="82" t="s">
        <v>7</v>
      </c>
      <c r="D258" s="83"/>
      <c r="E258" s="83"/>
      <c r="F258" s="83"/>
      <c r="G258" s="6" t="s">
        <v>32</v>
      </c>
      <c r="H258" s="6" t="s">
        <v>296</v>
      </c>
      <c r="I258" s="6" t="s">
        <v>297</v>
      </c>
      <c r="J258" s="57" t="s">
        <v>9</v>
      </c>
      <c r="K258" s="58"/>
    </row>
    <row r="259" spans="1:14" ht="75" customHeight="1" x14ac:dyDescent="0.25">
      <c r="A259" s="6" t="s">
        <v>372</v>
      </c>
      <c r="B259" s="28">
        <v>87530</v>
      </c>
      <c r="C259" s="91" t="str">
        <f>VLOOKUP(B259,S!$A:$D,2,FALSE)</f>
        <v>MASSA ÚNICA, PARA RECEBIMENTO DE PINTURA, EM ARGAMASSA TRAÇO 1:2:8, PREPARO MANUAL, APLICADA MANUALMENTE EM FACES INTERNAS DE PAREDES, ESPESSURA DE 20MM, COM EXECUÇÃO DE TALISCAS. AF_06/2014</v>
      </c>
      <c r="D259" s="91"/>
      <c r="E259" s="91"/>
      <c r="F259" s="92"/>
      <c r="G259" s="6" t="str">
        <f>VLOOKUP(B259,S!$A:$D,3,FALSE)</f>
        <v>M2</v>
      </c>
      <c r="H259" s="21"/>
      <c r="I259" s="21">
        <f>J263</f>
        <v>32.29</v>
      </c>
      <c r="J259" s="76"/>
      <c r="K259" s="72"/>
      <c r="L259" s="21">
        <f>VLOOKUP(B259,S!$A:$D,4,FALSE)</f>
        <v>32.29</v>
      </c>
      <c r="M259" s="6" t="str">
        <f>IF(ROUND((L259-I259),2)=0,"OK, confere com a tabela.",IF(ROUND((L259-I259),2)&lt;0,"ACIMA ("&amp;TEXT(ROUND(I259*100/L259,4),"0,0000")&amp;" %) da tabela.","ABAIXO ("&amp;TEXT(ROUND(I259*100/L259,4),"0,0000")&amp;" %) da tabela."))</f>
        <v>OK, confere com a tabela.</v>
      </c>
    </row>
    <row r="260" spans="1:14" ht="60" customHeight="1" x14ac:dyDescent="0.25">
      <c r="A260" s="16" t="s">
        <v>302</v>
      </c>
      <c r="B260" s="20">
        <v>87369</v>
      </c>
      <c r="C260" s="77" t="str">
        <f>VLOOKUP(B260,IF(A260="COMPOSICAO",S!$A:$D,I!$A:$D),2,FALSE)</f>
        <v>ARGAMASSA TRAÇO 1:2:8 (EM VOLUME DE CIMENTO, CAL E AREIA MÉDIA ÚMIDA) PARA EMBOÇO/MASSA ÚNICA/ASSENTAMENTO DE ALVENARIA DE VEDAÇÃO, PREPARO MANUAL. AF_08/2019</v>
      </c>
      <c r="D260" s="77"/>
      <c r="E260" s="77"/>
      <c r="F260" s="77"/>
      <c r="G260" s="16" t="str">
        <f>VLOOKUP(B260,IF(A260="COMPOSICAO",S!$A:$D,I!$A:$D),3,FALSE)</f>
        <v>M3</v>
      </c>
      <c r="H260" s="22">
        <f>0.0376</f>
        <v>3.7600000000000001E-2</v>
      </c>
      <c r="I260" s="17">
        <f>IF(A260="COMPOSICAO",VLOOKUP("TOTAL - "&amp;B260,COMPOSICAO_AUX_1!$A:$J,10,FALSE),VLOOKUP(B260,I!$A:$D,4,FALSE))</f>
        <v>541.25</v>
      </c>
      <c r="J260" s="80">
        <f>TRUNC(H260*I260,2)</f>
        <v>20.350000000000001</v>
      </c>
      <c r="K260" s="81"/>
      <c r="L260" s="3"/>
      <c r="M260" s="3"/>
      <c r="N260" s="3"/>
    </row>
    <row r="261" spans="1:14" ht="15" customHeight="1" x14ac:dyDescent="0.25">
      <c r="A261" s="16" t="s">
        <v>302</v>
      </c>
      <c r="B261" s="20">
        <v>88309</v>
      </c>
      <c r="C261" s="77" t="str">
        <f>VLOOKUP(B261,IF(A261="COMPOSICAO",S!$A:$D,I!$A:$D),2,FALSE)</f>
        <v>PEDREIRO COM ENCARGOS COMPLEMENTARES</v>
      </c>
      <c r="D261" s="77"/>
      <c r="E261" s="77"/>
      <c r="F261" s="77"/>
      <c r="G261" s="16" t="str">
        <f>VLOOKUP(B261,IF(A261="COMPOSICAO",S!$A:$D,I!$A:$D),3,FALSE)</f>
        <v>H</v>
      </c>
      <c r="H261" s="22">
        <f>0.47</f>
        <v>0.47</v>
      </c>
      <c r="I261" s="17">
        <f>IF(A261="COMPOSICAO",VLOOKUP("TOTAL - "&amp;B261,COMPOSICAO_AUX_1!$A:$J,10,FALSE),VLOOKUP(B261,I!$A:$D,4,FALSE))</f>
        <v>19.849999999999994</v>
      </c>
      <c r="J261" s="80">
        <f>TRUNC(H261*I261,2)</f>
        <v>9.32</v>
      </c>
      <c r="K261" s="81"/>
      <c r="L261" s="3"/>
      <c r="M261" s="3"/>
      <c r="N261" s="3"/>
    </row>
    <row r="262" spans="1:14" ht="15" customHeight="1" x14ac:dyDescent="0.25">
      <c r="A262" s="16" t="s">
        <v>302</v>
      </c>
      <c r="B262" s="20">
        <v>88316</v>
      </c>
      <c r="C262" s="77" t="str">
        <f>VLOOKUP(B262,IF(A262="COMPOSICAO",S!$A:$D,I!$A:$D),2,FALSE)</f>
        <v>SERVENTE COM ENCARGOS COMPLEMENTARES</v>
      </c>
      <c r="D262" s="77"/>
      <c r="E262" s="77"/>
      <c r="F262" s="77"/>
      <c r="G262" s="16" t="str">
        <f>VLOOKUP(B262,IF(A262="COMPOSICAO",S!$A:$D,I!$A:$D),3,FALSE)</f>
        <v>H</v>
      </c>
      <c r="H262" s="22">
        <f>0.171</f>
        <v>0.17100000000000001</v>
      </c>
      <c r="I262" s="17">
        <f>IF(A262="COMPOSICAO",VLOOKUP("TOTAL - "&amp;B262,COMPOSICAO_AUX_1!$A:$J,10,FALSE),VLOOKUP(B262,I!$A:$D,4,FALSE))</f>
        <v>15.35</v>
      </c>
      <c r="J262" s="80">
        <f>TRUNC(H262*I262,2)</f>
        <v>2.62</v>
      </c>
      <c r="K262" s="81"/>
      <c r="L262" s="3"/>
      <c r="M262" s="3"/>
      <c r="N262" s="3"/>
    </row>
    <row r="263" spans="1:14" ht="15" customHeight="1" x14ac:dyDescent="0.25">
      <c r="A263" s="23" t="s">
        <v>303</v>
      </c>
      <c r="B263" s="24"/>
      <c r="C263" s="24"/>
      <c r="D263" s="24"/>
      <c r="E263" s="24"/>
      <c r="F263" s="24"/>
      <c r="G263" s="25"/>
      <c r="H263" s="26"/>
      <c r="I263" s="27"/>
      <c r="J263" s="80">
        <f>SUM(J259:K262)</f>
        <v>32.29</v>
      </c>
      <c r="K263" s="81"/>
    </row>
    <row r="264" spans="1:14" ht="15" customHeight="1" x14ac:dyDescent="0.25">
      <c r="A264" s="23" t="str">
        <f>"TAXA DE BDI ("&amp;BDI&amp;" %)"</f>
        <v>TAXA DE BDI (20,8 %)</v>
      </c>
      <c r="B264" s="24"/>
      <c r="C264" s="24"/>
      <c r="D264" s="24"/>
      <c r="E264" s="24"/>
      <c r="F264" s="24"/>
      <c r="G264" s="25"/>
      <c r="H264" s="26"/>
      <c r="I264" s="27"/>
      <c r="J264" s="80">
        <f>ROUND(J263*(BDI/100),2)</f>
        <v>6.72</v>
      </c>
      <c r="K264" s="81"/>
    </row>
    <row r="265" spans="1:14" ht="15" customHeight="1" x14ac:dyDescent="0.25">
      <c r="A265" s="23" t="s">
        <v>374</v>
      </c>
      <c r="B265" s="24"/>
      <c r="C265" s="24"/>
      <c r="D265" s="24"/>
      <c r="E265" s="24"/>
      <c r="F265" s="24"/>
      <c r="G265" s="25"/>
      <c r="H265" s="26"/>
      <c r="I265" s="27"/>
      <c r="J265" s="80">
        <f>SUM(J263:K264)</f>
        <v>39.01</v>
      </c>
      <c r="K265" s="81"/>
    </row>
    <row r="266" spans="1:14" ht="15" customHeight="1" x14ac:dyDescent="0.25">
      <c r="A266" s="3"/>
      <c r="B266" s="3"/>
      <c r="C266" s="3"/>
      <c r="D266" s="3"/>
      <c r="E266" s="3"/>
      <c r="F266" s="3"/>
      <c r="G266" s="3"/>
      <c r="H266" s="3"/>
      <c r="I266" s="3"/>
      <c r="J266" s="3"/>
      <c r="K266" s="3"/>
    </row>
    <row r="267" spans="1:14" ht="15" customHeight="1" x14ac:dyDescent="0.25">
      <c r="A267" s="10" t="s">
        <v>295</v>
      </c>
      <c r="B267" s="10" t="s">
        <v>31</v>
      </c>
      <c r="C267" s="82" t="s">
        <v>7</v>
      </c>
      <c r="D267" s="83"/>
      <c r="E267" s="83"/>
      <c r="F267" s="83"/>
      <c r="G267" s="6" t="s">
        <v>32</v>
      </c>
      <c r="H267" s="6" t="s">
        <v>296</v>
      </c>
      <c r="I267" s="6" t="s">
        <v>297</v>
      </c>
      <c r="J267" s="57" t="s">
        <v>9</v>
      </c>
      <c r="K267" s="58"/>
    </row>
    <row r="268" spans="1:14" ht="75" customHeight="1" x14ac:dyDescent="0.25">
      <c r="A268" s="6" t="s">
        <v>372</v>
      </c>
      <c r="B268" s="28">
        <v>99198</v>
      </c>
      <c r="C268" s="91" t="str">
        <f>VLOOKUP(B268,S!$A:$D,2,FALSE)</f>
        <v>REVESTIMENTO CERÂMICO PARA PAREDES INTERNAS COM PLACAS TIPO ESMALTADA PADRÃO POPULAR DE DIMENSÕES 20X20 CM, ARGAMASSA TIPO AC III, APLICADAS EM AMBIENTES DE ÁREA MAIOR QUE 5 M2 A MEIA ALTURA DAS PAREDES. AF_06/2014</v>
      </c>
      <c r="D268" s="91"/>
      <c r="E268" s="91"/>
      <c r="F268" s="92"/>
      <c r="G268" s="6" t="str">
        <f>VLOOKUP(B268,S!$A:$D,3,FALSE)</f>
        <v>M2</v>
      </c>
      <c r="H268" s="21"/>
      <c r="I268" s="21">
        <f>J274</f>
        <v>58.63</v>
      </c>
      <c r="J268" s="76"/>
      <c r="K268" s="72"/>
      <c r="L268" s="21">
        <f>VLOOKUP(B268,S!$A:$D,4,FALSE)</f>
        <v>58.63</v>
      </c>
      <c r="M268" s="6" t="str">
        <f>IF(ROUND((L268-I268),2)=0,"OK, confere com a tabela.",IF(ROUND((L268-I268),2)&lt;0,"ACIMA ("&amp;TEXT(ROUND(I268*100/L268,4),"0,0000")&amp;" %) da tabela.","ABAIXO ("&amp;TEXT(ROUND(I268*100/L268,4),"0,0000")&amp;" %) da tabela."))</f>
        <v>OK, confere com a tabela.</v>
      </c>
    </row>
    <row r="269" spans="1:14" ht="45" customHeight="1" x14ac:dyDescent="0.25">
      <c r="A269" s="16" t="s">
        <v>306</v>
      </c>
      <c r="B269" s="20">
        <v>533</v>
      </c>
      <c r="C269" s="77" t="str">
        <f>VLOOKUP(B269,IF(A269="COMPOSICAO",S!$A:$D,I!$A:$D),2,FALSE)</f>
        <v>REVESTIMENTO EM CERAMICA ESMALTADA COMERCIAL, PEI MENOR OU IGUAL A 3, FORMATO MENOR OU IGUAL A 2025 CM2</v>
      </c>
      <c r="D269" s="77"/>
      <c r="E269" s="77"/>
      <c r="F269" s="77"/>
      <c r="G269" s="16" t="str">
        <f>VLOOKUP(B269,IF(A269="COMPOSICAO",S!$A:$D,I!$A:$D),3,FALSE)</f>
        <v>M2</v>
      </c>
      <c r="H269" s="22">
        <f>1.06</f>
        <v>1.06</v>
      </c>
      <c r="I269" s="17">
        <f>IF(A269="COMPOSICAO",VLOOKUP("TOTAL - "&amp;B269,COMPOSICAO_AUX_1!$A:$J,10,FALSE),VLOOKUP(B269,I!$A:$D,4,FALSE))</f>
        <v>25.27</v>
      </c>
      <c r="J269" s="80">
        <f>TRUNC(H269*I269,2)</f>
        <v>26.78</v>
      </c>
      <c r="K269" s="81"/>
      <c r="L269" s="3"/>
      <c r="M269" s="3"/>
      <c r="N269" s="3"/>
    </row>
    <row r="270" spans="1:14" ht="15" customHeight="1" x14ac:dyDescent="0.25">
      <c r="A270" s="16" t="s">
        <v>306</v>
      </c>
      <c r="B270" s="20">
        <v>34357</v>
      </c>
      <c r="C270" s="77" t="str">
        <f>VLOOKUP(B270,IF(A270="COMPOSICAO",S!$A:$D,I!$A:$D),2,FALSE)</f>
        <v>REJUNTE CIMENTICIO, QUALQUER COR</v>
      </c>
      <c r="D270" s="77"/>
      <c r="E270" s="77"/>
      <c r="F270" s="77"/>
      <c r="G270" s="16" t="str">
        <f>VLOOKUP(B270,IF(A270="COMPOSICAO",S!$A:$D,I!$A:$D),3,FALSE)</f>
        <v>KG</v>
      </c>
      <c r="H270" s="22">
        <f>0.42</f>
        <v>0.42</v>
      </c>
      <c r="I270" s="17">
        <f>IF(A270="COMPOSICAO",VLOOKUP("TOTAL - "&amp;B270,COMPOSICAO_AUX_1!$A:$J,10,FALSE),VLOOKUP(B270,I!$A:$D,4,FALSE))</f>
        <v>3.34</v>
      </c>
      <c r="J270" s="80">
        <f>TRUNC(H270*I270,2)</f>
        <v>1.4</v>
      </c>
      <c r="K270" s="81"/>
      <c r="L270" s="3"/>
      <c r="M270" s="3"/>
      <c r="N270" s="3"/>
    </row>
    <row r="271" spans="1:14" ht="15" customHeight="1" x14ac:dyDescent="0.25">
      <c r="A271" s="16" t="s">
        <v>306</v>
      </c>
      <c r="B271" s="20">
        <v>37595</v>
      </c>
      <c r="C271" s="77" t="str">
        <f>VLOOKUP(B271,IF(A271="COMPOSICAO",S!$A:$D,I!$A:$D),2,FALSE)</f>
        <v>ARGAMASSA COLANTE TIPO AC III</v>
      </c>
      <c r="D271" s="77"/>
      <c r="E271" s="77"/>
      <c r="F271" s="77"/>
      <c r="G271" s="16" t="str">
        <f>VLOOKUP(B271,IF(A271="COMPOSICAO",S!$A:$D,I!$A:$D),3,FALSE)</f>
        <v>KG</v>
      </c>
      <c r="H271" s="22">
        <f>4.86</f>
        <v>4.8600000000000003</v>
      </c>
      <c r="I271" s="17">
        <f>IF(A271="COMPOSICAO",VLOOKUP("TOTAL - "&amp;B271,COMPOSICAO_AUX_1!$A:$J,10,FALSE),VLOOKUP(B271,I!$A:$D,4,FALSE))</f>
        <v>1.75</v>
      </c>
      <c r="J271" s="80">
        <f>TRUNC(H271*I271,2)</f>
        <v>8.5</v>
      </c>
      <c r="K271" s="81"/>
      <c r="L271" s="3"/>
      <c r="M271" s="3"/>
      <c r="N271" s="3"/>
    </row>
    <row r="272" spans="1:14" ht="30" customHeight="1" x14ac:dyDescent="0.25">
      <c r="A272" s="16" t="s">
        <v>302</v>
      </c>
      <c r="B272" s="20">
        <v>88256</v>
      </c>
      <c r="C272" s="77" t="str">
        <f>VLOOKUP(B272,IF(A272="COMPOSICAO",S!$A:$D,I!$A:$D),2,FALSE)</f>
        <v>AZULEJISTA OU LADRILHISTA COM ENCARGOS COMPLEMENTARES</v>
      </c>
      <c r="D272" s="77"/>
      <c r="E272" s="77"/>
      <c r="F272" s="77"/>
      <c r="G272" s="16" t="str">
        <f>VLOOKUP(B272,IF(A272="COMPOSICAO",S!$A:$D,I!$A:$D),3,FALSE)</f>
        <v>H</v>
      </c>
      <c r="H272" s="22">
        <f>0.7</f>
        <v>0.7</v>
      </c>
      <c r="I272" s="17">
        <f>IF(A272="COMPOSICAO",VLOOKUP("TOTAL - "&amp;B272,COMPOSICAO_AUX_1!$A:$J,10,FALSE),VLOOKUP(B272,I!$A:$D,4,FALSE))</f>
        <v>23.259999999999998</v>
      </c>
      <c r="J272" s="80">
        <f>TRUNC(H272*I272,2)</f>
        <v>16.28</v>
      </c>
      <c r="K272" s="81"/>
      <c r="L272" s="3"/>
      <c r="M272" s="3"/>
      <c r="N272" s="3"/>
    </row>
    <row r="273" spans="1:14" ht="15" customHeight="1" x14ac:dyDescent="0.25">
      <c r="A273" s="16" t="s">
        <v>302</v>
      </c>
      <c r="B273" s="20">
        <v>88316</v>
      </c>
      <c r="C273" s="77" t="str">
        <f>VLOOKUP(B273,IF(A273="COMPOSICAO",S!$A:$D,I!$A:$D),2,FALSE)</f>
        <v>SERVENTE COM ENCARGOS COMPLEMENTARES</v>
      </c>
      <c r="D273" s="77"/>
      <c r="E273" s="77"/>
      <c r="F273" s="77"/>
      <c r="G273" s="16" t="str">
        <f>VLOOKUP(B273,IF(A273="COMPOSICAO",S!$A:$D,I!$A:$D),3,FALSE)</f>
        <v>H</v>
      </c>
      <c r="H273" s="22">
        <f>0.37</f>
        <v>0.37</v>
      </c>
      <c r="I273" s="17">
        <f>IF(A273="COMPOSICAO",VLOOKUP("TOTAL - "&amp;B273,COMPOSICAO_AUX_1!$A:$J,10,FALSE),VLOOKUP(B273,I!$A:$D,4,FALSE))</f>
        <v>15.35</v>
      </c>
      <c r="J273" s="80">
        <f>TRUNC(H273*I273,2)</f>
        <v>5.67</v>
      </c>
      <c r="K273" s="81"/>
      <c r="L273" s="3"/>
      <c r="M273" s="3"/>
      <c r="N273" s="3"/>
    </row>
    <row r="274" spans="1:14" ht="15" customHeight="1" x14ac:dyDescent="0.25">
      <c r="A274" s="23" t="s">
        <v>303</v>
      </c>
      <c r="B274" s="24"/>
      <c r="C274" s="24"/>
      <c r="D274" s="24"/>
      <c r="E274" s="24"/>
      <c r="F274" s="24"/>
      <c r="G274" s="25"/>
      <c r="H274" s="26"/>
      <c r="I274" s="27"/>
      <c r="J274" s="80">
        <f>SUM(J268:K273)</f>
        <v>58.63</v>
      </c>
      <c r="K274" s="81"/>
    </row>
    <row r="275" spans="1:14" ht="15" customHeight="1" x14ac:dyDescent="0.25">
      <c r="A275" s="23" t="str">
        <f>"TAXA DE BDI ("&amp;BDI&amp;" %)"</f>
        <v>TAXA DE BDI (20,8 %)</v>
      </c>
      <c r="B275" s="24"/>
      <c r="C275" s="24"/>
      <c r="D275" s="24"/>
      <c r="E275" s="24"/>
      <c r="F275" s="24"/>
      <c r="G275" s="25"/>
      <c r="H275" s="26"/>
      <c r="I275" s="27"/>
      <c r="J275" s="80">
        <f>ROUND(J274*(BDI/100),2)</f>
        <v>12.2</v>
      </c>
      <c r="K275" s="81"/>
    </row>
    <row r="276" spans="1:14" ht="15" customHeight="1" x14ac:dyDescent="0.25">
      <c r="A276" s="23" t="s">
        <v>375</v>
      </c>
      <c r="B276" s="24"/>
      <c r="C276" s="24"/>
      <c r="D276" s="24"/>
      <c r="E276" s="24"/>
      <c r="F276" s="24"/>
      <c r="G276" s="25"/>
      <c r="H276" s="26"/>
      <c r="I276" s="27"/>
      <c r="J276" s="80">
        <f>SUM(J274:K275)</f>
        <v>70.83</v>
      </c>
      <c r="K276" s="81"/>
    </row>
    <row r="277" spans="1:14" ht="15" customHeight="1" x14ac:dyDescent="0.25">
      <c r="A277" s="3"/>
      <c r="B277" s="3"/>
      <c r="C277" s="3"/>
      <c r="D277" s="3"/>
      <c r="E277" s="3"/>
      <c r="F277" s="3"/>
      <c r="G277" s="3"/>
      <c r="H277" s="3"/>
      <c r="I277" s="3"/>
      <c r="J277" s="3"/>
      <c r="K277" s="3"/>
    </row>
    <row r="278" spans="1:14" ht="15" customHeight="1" x14ac:dyDescent="0.25">
      <c r="A278" s="10" t="s">
        <v>295</v>
      </c>
      <c r="B278" s="10" t="s">
        <v>31</v>
      </c>
      <c r="C278" s="82" t="s">
        <v>7</v>
      </c>
      <c r="D278" s="83"/>
      <c r="E278" s="83"/>
      <c r="F278" s="83"/>
      <c r="G278" s="6" t="s">
        <v>32</v>
      </c>
      <c r="H278" s="6" t="s">
        <v>296</v>
      </c>
      <c r="I278" s="6" t="s">
        <v>297</v>
      </c>
      <c r="J278" s="57" t="s">
        <v>9</v>
      </c>
      <c r="K278" s="58"/>
    </row>
    <row r="279" spans="1:14" ht="90" customHeight="1" x14ac:dyDescent="0.25">
      <c r="A279" s="6" t="s">
        <v>376</v>
      </c>
      <c r="B279" s="28">
        <v>89171</v>
      </c>
      <c r="C279" s="91" t="str">
        <f>VLOOKUP(B279,S!$A:$D,2,FALSE)</f>
        <v>(COMPOSIÇÃO REPRESENTATIVA) DO SERVIÇO DE REVESTIMENTO CERÂMICO PARA PISO COM PLACAS TIPO ESMALTADA EXTRA DE DIMENSÕES 35X35 CM, PARA EDIFICAÇÃO HABITACIONAL UNIFAMILIAR (CASA) E EDIFICAÇÃO PÚBLICA PADRÃO. AF_11/2014</v>
      </c>
      <c r="D279" s="91"/>
      <c r="E279" s="91"/>
      <c r="F279" s="92"/>
      <c r="G279" s="6" t="str">
        <f>VLOOKUP(B279,S!$A:$D,3,FALSE)</f>
        <v>M2</v>
      </c>
      <c r="H279" s="21"/>
      <c r="I279" s="21">
        <f>J283</f>
        <v>50.819999999999993</v>
      </c>
      <c r="J279" s="76"/>
      <c r="K279" s="72"/>
      <c r="L279" s="21">
        <f>VLOOKUP(B279,S!$A:$D,4,FALSE)</f>
        <v>50.82</v>
      </c>
      <c r="M279" s="6" t="str">
        <f>IF(ROUND((L279-I279),2)=0,"OK, confere com a tabela.",IF(ROUND((L279-I279),2)&lt;0,"ACIMA ("&amp;TEXT(ROUND(I279*100/L279,4),"0,0000")&amp;" %) da tabela.","ABAIXO ("&amp;TEXT(ROUND(I279*100/L279,4),"0,0000")&amp;" %) da tabela."))</f>
        <v>OK, confere com a tabela.</v>
      </c>
    </row>
    <row r="280" spans="1:14" ht="60" customHeight="1" x14ac:dyDescent="0.25">
      <c r="A280" s="16" t="s">
        <v>302</v>
      </c>
      <c r="B280" s="20">
        <v>87246</v>
      </c>
      <c r="C280" s="77" t="str">
        <f>VLOOKUP(B280,IF(A280="COMPOSICAO",S!$A:$D,I!$A:$D),2,FALSE)</f>
        <v>REVESTIMENTO CERÂMICO PARA PISO COM PLACAS TIPO ESMALTADA EXTRA DE DIMENSÕES 35X35 CM APLICADA EM AMBIENTES DE ÁREA MENOR QUE 5 M2. AF_06/2014</v>
      </c>
      <c r="D280" s="77"/>
      <c r="E280" s="77"/>
      <c r="F280" s="77"/>
      <c r="G280" s="16" t="str">
        <f>VLOOKUP(B280,IF(A280="COMPOSICAO",S!$A:$D,I!$A:$D),3,FALSE)</f>
        <v>M2</v>
      </c>
      <c r="H280" s="22">
        <f>0.0548</f>
        <v>5.4800000000000001E-2</v>
      </c>
      <c r="I280" s="17">
        <f>IF(A280="COMPOSICAO",VLOOKUP("TOTAL - "&amp;B280,COMPOSICAO_AUX_1!$A:$J,10,FALSE),VLOOKUP(B280,I!$A:$D,4,FALSE))</f>
        <v>60.140000000000008</v>
      </c>
      <c r="J280" s="80">
        <f>TRUNC(H280*I280,2)</f>
        <v>3.29</v>
      </c>
      <c r="K280" s="81"/>
      <c r="L280" s="3"/>
      <c r="M280" s="3"/>
      <c r="N280" s="3"/>
    </row>
    <row r="281" spans="1:14" ht="60" customHeight="1" x14ac:dyDescent="0.25">
      <c r="A281" s="16" t="s">
        <v>302</v>
      </c>
      <c r="B281" s="20">
        <v>87247</v>
      </c>
      <c r="C281" s="77" t="str">
        <f>VLOOKUP(B281,IF(A281="COMPOSICAO",S!$A:$D,I!$A:$D),2,FALSE)</f>
        <v>REVESTIMENTO CERÂMICO PARA PISO COM PLACAS TIPO ESMALTADA EXTRA DE DIMENSÕES 35X35 CM APLICADA EM AMBIENTES DE ÁREA ENTRE 5 M2 E 10 M2. AF_06/2014</v>
      </c>
      <c r="D281" s="77"/>
      <c r="E281" s="77"/>
      <c r="F281" s="77"/>
      <c r="G281" s="16" t="str">
        <f>VLOOKUP(B281,IF(A281="COMPOSICAO",S!$A:$D,I!$A:$D),3,FALSE)</f>
        <v>M2</v>
      </c>
      <c r="H281" s="22">
        <f>0.3365</f>
        <v>0.33650000000000002</v>
      </c>
      <c r="I281" s="17">
        <f>IF(A281="COMPOSICAO",VLOOKUP("TOTAL - "&amp;B281,COMPOSICAO_AUX_1!$A:$J,10,FALSE),VLOOKUP(B281,I!$A:$D,4,FALSE))</f>
        <v>53.64</v>
      </c>
      <c r="J281" s="80">
        <f>TRUNC(H281*I281,2)</f>
        <v>18.04</v>
      </c>
      <c r="K281" s="81"/>
      <c r="L281" s="3"/>
      <c r="M281" s="3"/>
      <c r="N281" s="3"/>
    </row>
    <row r="282" spans="1:14" ht="60" customHeight="1" x14ac:dyDescent="0.25">
      <c r="A282" s="16" t="s">
        <v>302</v>
      </c>
      <c r="B282" s="20">
        <v>87248</v>
      </c>
      <c r="C282" s="77" t="str">
        <f>VLOOKUP(B282,IF(A282="COMPOSICAO",S!$A:$D,I!$A:$D),2,FALSE)</f>
        <v>REVESTIMENTO CERÂMICO PARA PISO COM PLACAS TIPO ESMALTADA EXTRA DE DIMENSÕES 35X35 CM APLICADA EM AMBIENTES DE ÁREA MAIOR QUE 10 M2. AF_06/2014</v>
      </c>
      <c r="D282" s="77"/>
      <c r="E282" s="77"/>
      <c r="F282" s="77"/>
      <c r="G282" s="16" t="str">
        <f>VLOOKUP(B282,IF(A282="COMPOSICAO",S!$A:$D,I!$A:$D),3,FALSE)</f>
        <v>M2</v>
      </c>
      <c r="H282" s="22">
        <f>0.6087</f>
        <v>0.60870000000000002</v>
      </c>
      <c r="I282" s="17">
        <f>IF(A282="COMPOSICAO",VLOOKUP("TOTAL - "&amp;B282,COMPOSICAO_AUX_1!$A:$J,10,FALSE),VLOOKUP(B282,I!$A:$D,4,FALSE))</f>
        <v>48.449999999999996</v>
      </c>
      <c r="J282" s="80">
        <f>TRUNC(H282*I282,2)</f>
        <v>29.49</v>
      </c>
      <c r="K282" s="81"/>
      <c r="L282" s="3"/>
      <c r="M282" s="3"/>
      <c r="N282" s="3"/>
    </row>
    <row r="283" spans="1:14" ht="15" customHeight="1" x14ac:dyDescent="0.25">
      <c r="A283" s="23" t="s">
        <v>303</v>
      </c>
      <c r="B283" s="24"/>
      <c r="C283" s="24"/>
      <c r="D283" s="24"/>
      <c r="E283" s="24"/>
      <c r="F283" s="24"/>
      <c r="G283" s="25"/>
      <c r="H283" s="26"/>
      <c r="I283" s="27"/>
      <c r="J283" s="80">
        <f>SUM(J279:K282)</f>
        <v>50.819999999999993</v>
      </c>
      <c r="K283" s="81"/>
    </row>
    <row r="284" spans="1:14" ht="15" customHeight="1" x14ac:dyDescent="0.25">
      <c r="A284" s="23" t="str">
        <f>"TAXA DE BDI ("&amp;BDI&amp;" %)"</f>
        <v>TAXA DE BDI (20,8 %)</v>
      </c>
      <c r="B284" s="24"/>
      <c r="C284" s="24"/>
      <c r="D284" s="24"/>
      <c r="E284" s="24"/>
      <c r="F284" s="24"/>
      <c r="G284" s="25"/>
      <c r="H284" s="26"/>
      <c r="I284" s="27"/>
      <c r="J284" s="80">
        <f>ROUND(J283*(BDI/100),2)</f>
        <v>10.57</v>
      </c>
      <c r="K284" s="81"/>
    </row>
    <row r="285" spans="1:14" ht="15" customHeight="1" x14ac:dyDescent="0.25">
      <c r="A285" s="23" t="s">
        <v>377</v>
      </c>
      <c r="B285" s="24"/>
      <c r="C285" s="24"/>
      <c r="D285" s="24"/>
      <c r="E285" s="24"/>
      <c r="F285" s="24"/>
      <c r="G285" s="25"/>
      <c r="H285" s="26"/>
      <c r="I285" s="27"/>
      <c r="J285" s="80">
        <f>SUM(J283:K284)</f>
        <v>61.389999999999993</v>
      </c>
      <c r="K285" s="81"/>
    </row>
    <row r="286" spans="1:14" ht="15" customHeight="1" x14ac:dyDescent="0.25">
      <c r="A286" s="3"/>
      <c r="B286" s="3"/>
      <c r="C286" s="3"/>
      <c r="D286" s="3"/>
      <c r="E286" s="3"/>
      <c r="F286" s="3"/>
      <c r="G286" s="3"/>
      <c r="H286" s="3"/>
      <c r="I286" s="3"/>
      <c r="J286" s="3"/>
      <c r="K286" s="3"/>
    </row>
    <row r="287" spans="1:14" ht="15" customHeight="1" x14ac:dyDescent="0.25">
      <c r="A287" s="10" t="s">
        <v>295</v>
      </c>
      <c r="B287" s="10" t="s">
        <v>31</v>
      </c>
      <c r="C287" s="82" t="s">
        <v>7</v>
      </c>
      <c r="D287" s="83"/>
      <c r="E287" s="83"/>
      <c r="F287" s="83"/>
      <c r="G287" s="6" t="s">
        <v>32</v>
      </c>
      <c r="H287" s="6" t="s">
        <v>296</v>
      </c>
      <c r="I287" s="6" t="s">
        <v>297</v>
      </c>
      <c r="J287" s="57" t="s">
        <v>9</v>
      </c>
      <c r="K287" s="58"/>
    </row>
    <row r="288" spans="1:14" ht="45" customHeight="1" x14ac:dyDescent="0.25">
      <c r="A288" s="6" t="s">
        <v>372</v>
      </c>
      <c r="B288" s="28">
        <v>96116</v>
      </c>
      <c r="C288" s="91" t="str">
        <f>VLOOKUP(B288,S!$A:$D,2,FALSE)</f>
        <v>FORRO EM RÉGUAS DE PVC, FRISADO, PARA AMBIENTES COMERCIAIS, INCLUSIVE ESTRUTURA DE FIXAÇÃO. AF_05/2017_P</v>
      </c>
      <c r="D288" s="91"/>
      <c r="E288" s="91"/>
      <c r="F288" s="92"/>
      <c r="G288" s="6" t="str">
        <f>VLOOKUP(B288,S!$A:$D,3,FALSE)</f>
        <v>M2</v>
      </c>
      <c r="H288" s="21"/>
      <c r="I288" s="21">
        <f>J297</f>
        <v>78.550000000000011</v>
      </c>
      <c r="J288" s="76"/>
      <c r="K288" s="72"/>
      <c r="L288" s="21">
        <f>VLOOKUP(B288,S!$A:$D,4,FALSE)</f>
        <v>78.55</v>
      </c>
      <c r="M288" s="6" t="str">
        <f>IF(ROUND((L288-I288),2)=0,"OK, confere com a tabela.",IF(ROUND((L288-I288),2)&lt;0,"ACIMA ("&amp;TEXT(ROUND(I288*100/L288,4),"0,0000")&amp;" %) da tabela.","ABAIXO ("&amp;TEXT(ROUND(I288*100/L288,4),"0,0000")&amp;" %) da tabela."))</f>
        <v>OK, confere com a tabela.</v>
      </c>
    </row>
    <row r="289" spans="1:14" ht="45" customHeight="1" x14ac:dyDescent="0.25">
      <c r="A289" s="16" t="s">
        <v>306</v>
      </c>
      <c r="B289" s="20">
        <v>36238</v>
      </c>
      <c r="C289" s="77" t="str">
        <f>VLOOKUP(B289,IF(A289="COMPOSICAO",S!$A:$D,I!$A:$D),2,FALSE)</f>
        <v>FORRO DE PVC, FRISADO, BRANCO, REGUA DE 20 CM, ESPESSURA DE 8 MM A 10 MM E COMPRIMENTO 6 M (SEM COLOCACAO)</v>
      </c>
      <c r="D289" s="77"/>
      <c r="E289" s="77"/>
      <c r="F289" s="77"/>
      <c r="G289" s="16" t="str">
        <f>VLOOKUP(B289,IF(A289="COMPOSICAO",S!$A:$D,I!$A:$D),3,FALSE)</f>
        <v>M2</v>
      </c>
      <c r="H289" s="22">
        <f>1.0956</f>
        <v>1.0955999999999999</v>
      </c>
      <c r="I289" s="17">
        <f>IF(A289="COMPOSICAO",VLOOKUP("TOTAL - "&amp;B289,COMPOSICAO_AUX_1!$A:$J,10,FALSE),VLOOKUP(B289,I!$A:$D,4,FALSE))</f>
        <v>34.200000000000003</v>
      </c>
      <c r="J289" s="80">
        <f t="shared" ref="J289:J296" si="9">TRUNC(H289*I289,2)</f>
        <v>37.46</v>
      </c>
      <c r="K289" s="81"/>
      <c r="L289" s="3"/>
      <c r="M289" s="3"/>
      <c r="N289" s="3"/>
    </row>
    <row r="290" spans="1:14" ht="45" customHeight="1" x14ac:dyDescent="0.25">
      <c r="A290" s="16" t="s">
        <v>306</v>
      </c>
      <c r="B290" s="20">
        <v>39427</v>
      </c>
      <c r="C290" s="77" t="str">
        <f>VLOOKUP(B290,IF(A290="COMPOSICAO",S!$A:$D,I!$A:$D),2,FALSE)</f>
        <v>PERFIL CANALETA, FORMATO C, EM ACO ZINCADO, PARA ESTRUTURA FORRO DRYWALL, E = 0,5 MM, *46 X 18* (L X H), COMPRIMENTO 3 M</v>
      </c>
      <c r="D290" s="77"/>
      <c r="E290" s="77"/>
      <c r="F290" s="77"/>
      <c r="G290" s="16" t="str">
        <f>VLOOKUP(B290,IF(A290="COMPOSICAO",S!$A:$D,I!$A:$D),3,FALSE)</f>
        <v>M</v>
      </c>
      <c r="H290" s="22">
        <f>3.8499</f>
        <v>3.8498999999999999</v>
      </c>
      <c r="I290" s="17">
        <f>IF(A290="COMPOSICAO",VLOOKUP("TOTAL - "&amp;B290,COMPOSICAO_AUX_1!$A:$J,10,FALSE),VLOOKUP(B290,I!$A:$D,4,FALSE))</f>
        <v>6.48</v>
      </c>
      <c r="J290" s="80">
        <f t="shared" si="9"/>
        <v>24.94</v>
      </c>
      <c r="K290" s="81"/>
      <c r="L290" s="3"/>
      <c r="M290" s="3"/>
      <c r="N290" s="3"/>
    </row>
    <row r="291" spans="1:14" ht="45" customHeight="1" x14ac:dyDescent="0.25">
      <c r="A291" s="16" t="s">
        <v>306</v>
      </c>
      <c r="B291" s="20">
        <v>39430</v>
      </c>
      <c r="C291" s="77" t="str">
        <f>VLOOKUP(B291,IF(A291="COMPOSICAO",S!$A:$D,I!$A:$D),2,FALSE)</f>
        <v>PENDURAL OU PRESILHA REGULADORA, EM ACO GALVANIZADO, COM CORPO, MOLA E REBITE, PARA PERFIL TIPO CANALETA DE ESTRUTURA EM FORROS DRYWALL</v>
      </c>
      <c r="D291" s="77"/>
      <c r="E291" s="77"/>
      <c r="F291" s="77"/>
      <c r="G291" s="16" t="str">
        <f>VLOOKUP(B291,IF(A291="COMPOSICAO",S!$A:$D,I!$A:$D),3,FALSE)</f>
        <v>UN</v>
      </c>
      <c r="H291" s="22">
        <f>1.3265</f>
        <v>1.3265</v>
      </c>
      <c r="I291" s="17">
        <f>IF(A291="COMPOSICAO",VLOOKUP("TOTAL - "&amp;B291,COMPOSICAO_AUX_1!$A:$J,10,FALSE),VLOOKUP(B291,I!$A:$D,4,FALSE))</f>
        <v>2.44</v>
      </c>
      <c r="J291" s="80">
        <f t="shared" si="9"/>
        <v>3.23</v>
      </c>
      <c r="K291" s="81"/>
      <c r="L291" s="3"/>
      <c r="M291" s="3"/>
      <c r="N291" s="3"/>
    </row>
    <row r="292" spans="1:14" ht="45" customHeight="1" x14ac:dyDescent="0.25">
      <c r="A292" s="16" t="s">
        <v>306</v>
      </c>
      <c r="B292" s="20">
        <v>39443</v>
      </c>
      <c r="C292" s="77" t="str">
        <f>VLOOKUP(B292,IF(A292="COMPOSICAO",S!$A:$D,I!$A:$D),2,FALSE)</f>
        <v>PARAFUSO DRY WALL, EM ACO ZINCADO, CABECA LENTILHA E PONTA BROCA (LB), LARGURA 4,2 MM, COMPRIMENTO 13 MM</v>
      </c>
      <c r="D292" s="77"/>
      <c r="E292" s="77"/>
      <c r="F292" s="77"/>
      <c r="G292" s="16" t="str">
        <f>VLOOKUP(B292,IF(A292="COMPOSICAO",S!$A:$D,I!$A:$D),3,FALSE)</f>
        <v>UN</v>
      </c>
      <c r="H292" s="22">
        <f>2.1912</f>
        <v>2.1911999999999998</v>
      </c>
      <c r="I292" s="17">
        <f>IF(A292="COMPOSICAO",VLOOKUP("TOTAL - "&amp;B292,COMPOSICAO_AUX_1!$A:$J,10,FALSE),VLOOKUP(B292,I!$A:$D,4,FALSE))</f>
        <v>0.14000000000000001</v>
      </c>
      <c r="J292" s="80">
        <f t="shared" si="9"/>
        <v>0.3</v>
      </c>
      <c r="K292" s="81"/>
      <c r="L292" s="3"/>
      <c r="M292" s="3"/>
      <c r="N292" s="3"/>
    </row>
    <row r="293" spans="1:14" ht="30" customHeight="1" x14ac:dyDescent="0.25">
      <c r="A293" s="16" t="s">
        <v>306</v>
      </c>
      <c r="B293" s="20">
        <v>40547</v>
      </c>
      <c r="C293" s="77" t="str">
        <f>VLOOKUP(B293,IF(A293="COMPOSICAO",S!$A:$D,I!$A:$D),2,FALSE)</f>
        <v>PARAFUSO ZINCADO, AUTOBROCANTE, FLANGEADO, 4,2 MM X 19 MM</v>
      </c>
      <c r="D293" s="77"/>
      <c r="E293" s="77"/>
      <c r="F293" s="77"/>
      <c r="G293" s="16" t="str">
        <f>VLOOKUP(B293,IF(A293="COMPOSICAO",S!$A:$D,I!$A:$D),3,FALSE)</f>
        <v>CENTO</v>
      </c>
      <c r="H293" s="22">
        <f>0.0132</f>
        <v>1.32E-2</v>
      </c>
      <c r="I293" s="17">
        <f>IF(A293="COMPOSICAO",VLOOKUP("TOTAL - "&amp;B293,COMPOSICAO_AUX_1!$A:$J,10,FALSE),VLOOKUP(B293,I!$A:$D,4,FALSE))</f>
        <v>16.41</v>
      </c>
      <c r="J293" s="80">
        <f t="shared" si="9"/>
        <v>0.21</v>
      </c>
      <c r="K293" s="81"/>
      <c r="L293" s="3"/>
      <c r="M293" s="3"/>
      <c r="N293" s="3"/>
    </row>
    <row r="294" spans="1:14" ht="30" customHeight="1" x14ac:dyDescent="0.25">
      <c r="A294" s="16" t="s">
        <v>306</v>
      </c>
      <c r="B294" s="20">
        <v>40552</v>
      </c>
      <c r="C294" s="77" t="str">
        <f>VLOOKUP(B294,IF(A294="COMPOSICAO",S!$A:$D,I!$A:$D),2,FALSE)</f>
        <v>PARAFUSO, AUTO ATARRACHANTE, CABECA CHATA, FENDA SIMPLES, 1/4 (6,35 MM) X 25 MM</v>
      </c>
      <c r="D294" s="77"/>
      <c r="E294" s="77"/>
      <c r="F294" s="77"/>
      <c r="G294" s="16" t="str">
        <f>VLOOKUP(B294,IF(A294="COMPOSICAO",S!$A:$D,I!$A:$D),3,FALSE)</f>
        <v>CENTO</v>
      </c>
      <c r="H294" s="22">
        <f>0.0333</f>
        <v>3.3300000000000003E-2</v>
      </c>
      <c r="I294" s="17">
        <f>IF(A294="COMPOSICAO",VLOOKUP("TOTAL - "&amp;B294,COMPOSICAO_AUX_1!$A:$J,10,FALSE),VLOOKUP(B294,I!$A:$D,4,FALSE))</f>
        <v>28.13</v>
      </c>
      <c r="J294" s="80">
        <f t="shared" si="9"/>
        <v>0.93</v>
      </c>
      <c r="K294" s="81"/>
      <c r="L294" s="3"/>
      <c r="M294" s="3"/>
      <c r="N294" s="3"/>
    </row>
    <row r="295" spans="1:14" ht="45" customHeight="1" x14ac:dyDescent="0.25">
      <c r="A295" s="16" t="s">
        <v>306</v>
      </c>
      <c r="B295" s="20">
        <v>43131</v>
      </c>
      <c r="C295" s="77" t="str">
        <f>VLOOKUP(B295,IF(A295="COMPOSICAO",S!$A:$D,I!$A:$D),2,FALSE)</f>
        <v>ARAME GALVANIZADO 6 BWG, D = 5,16 MM (0,157 KG/M), OU 8 BWG, D = 4,19 MM (0,101 KG/M), OU 10 BWG, D = 3,40 MM (0,0713 KG/M)</v>
      </c>
      <c r="D295" s="77"/>
      <c r="E295" s="77"/>
      <c r="F295" s="77"/>
      <c r="G295" s="16" t="str">
        <f>VLOOKUP(B295,IF(A295="COMPOSICAO",S!$A:$D,I!$A:$D),3,FALSE)</f>
        <v>KG</v>
      </c>
      <c r="H295" s="22">
        <f>0.0426</f>
        <v>4.2599999999999999E-2</v>
      </c>
      <c r="I295" s="17">
        <f>IF(A295="COMPOSICAO",VLOOKUP("TOTAL - "&amp;B295,COMPOSICAO_AUX_1!$A:$J,10,FALSE),VLOOKUP(B295,I!$A:$D,4,FALSE))</f>
        <v>26.43</v>
      </c>
      <c r="J295" s="80">
        <f t="shared" si="9"/>
        <v>1.1200000000000001</v>
      </c>
      <c r="K295" s="81"/>
      <c r="L295" s="3"/>
      <c r="M295" s="3"/>
      <c r="N295" s="3"/>
    </row>
    <row r="296" spans="1:14" ht="30" customHeight="1" x14ac:dyDescent="0.25">
      <c r="A296" s="16" t="s">
        <v>302</v>
      </c>
      <c r="B296" s="20">
        <v>88278</v>
      </c>
      <c r="C296" s="77" t="str">
        <f>VLOOKUP(B296,IF(A296="COMPOSICAO",S!$A:$D,I!$A:$D),2,FALSE)</f>
        <v>MONTADOR DE ESTRUTURA METÁLICA COM ENCARGOS COMPLEMENTARES</v>
      </c>
      <c r="D296" s="77"/>
      <c r="E296" s="77"/>
      <c r="F296" s="77"/>
      <c r="G296" s="16" t="str">
        <f>VLOOKUP(B296,IF(A296="COMPOSICAO",S!$A:$D,I!$A:$D),3,FALSE)</f>
        <v>H</v>
      </c>
      <c r="H296" s="22">
        <f>0.4994</f>
        <v>0.49940000000000001</v>
      </c>
      <c r="I296" s="17">
        <f>IF(A296="COMPOSICAO",VLOOKUP("TOTAL - "&amp;B296,COMPOSICAO_AUX_1!$A:$J,10,FALSE),VLOOKUP(B296,I!$A:$D,4,FALSE))</f>
        <v>20.759999999999998</v>
      </c>
      <c r="J296" s="80">
        <f t="shared" si="9"/>
        <v>10.36</v>
      </c>
      <c r="K296" s="81"/>
      <c r="L296" s="3"/>
      <c r="M296" s="3"/>
      <c r="N296" s="3"/>
    </row>
    <row r="297" spans="1:14" ht="15" customHeight="1" x14ac:dyDescent="0.25">
      <c r="A297" s="23" t="s">
        <v>303</v>
      </c>
      <c r="B297" s="24"/>
      <c r="C297" s="24"/>
      <c r="D297" s="24"/>
      <c r="E297" s="24"/>
      <c r="F297" s="24"/>
      <c r="G297" s="25"/>
      <c r="H297" s="26"/>
      <c r="I297" s="27"/>
      <c r="J297" s="80">
        <f>SUM(J288:K296)</f>
        <v>78.550000000000011</v>
      </c>
      <c r="K297" s="81"/>
    </row>
    <row r="298" spans="1:14" ht="15" customHeight="1" x14ac:dyDescent="0.25">
      <c r="A298" s="23" t="str">
        <f>"TAXA DE BDI ("&amp;BDI&amp;" %)"</f>
        <v>TAXA DE BDI (20,8 %)</v>
      </c>
      <c r="B298" s="24"/>
      <c r="C298" s="24"/>
      <c r="D298" s="24"/>
      <c r="E298" s="24"/>
      <c r="F298" s="24"/>
      <c r="G298" s="25"/>
      <c r="H298" s="26"/>
      <c r="I298" s="27"/>
      <c r="J298" s="80">
        <f>ROUND(J297*(BDI/100),2)</f>
        <v>16.34</v>
      </c>
      <c r="K298" s="81"/>
    </row>
    <row r="299" spans="1:14" ht="15" customHeight="1" x14ac:dyDescent="0.25">
      <c r="A299" s="23" t="s">
        <v>378</v>
      </c>
      <c r="B299" s="24"/>
      <c r="C299" s="24"/>
      <c r="D299" s="24"/>
      <c r="E299" s="24"/>
      <c r="F299" s="24"/>
      <c r="G299" s="25"/>
      <c r="H299" s="26"/>
      <c r="I299" s="27"/>
      <c r="J299" s="80">
        <f>SUM(J297:K298)</f>
        <v>94.890000000000015</v>
      </c>
      <c r="K299" s="81"/>
    </row>
    <row r="300" spans="1:14" ht="15" customHeight="1" x14ac:dyDescent="0.25">
      <c r="A300" s="3"/>
      <c r="B300" s="3"/>
      <c r="C300" s="3"/>
      <c r="D300" s="3"/>
      <c r="E300" s="3"/>
      <c r="F300" s="3"/>
      <c r="G300" s="3"/>
      <c r="H300" s="3"/>
      <c r="I300" s="3"/>
      <c r="J300" s="3"/>
      <c r="K300" s="3"/>
    </row>
    <row r="301" spans="1:14" ht="15" customHeight="1" x14ac:dyDescent="0.25">
      <c r="A301" s="10" t="s">
        <v>295</v>
      </c>
      <c r="B301" s="10" t="s">
        <v>31</v>
      </c>
      <c r="C301" s="82" t="s">
        <v>7</v>
      </c>
      <c r="D301" s="83"/>
      <c r="E301" s="83"/>
      <c r="F301" s="83"/>
      <c r="G301" s="6" t="s">
        <v>32</v>
      </c>
      <c r="H301" s="6" t="s">
        <v>296</v>
      </c>
      <c r="I301" s="6" t="s">
        <v>297</v>
      </c>
      <c r="J301" s="57" t="s">
        <v>9</v>
      </c>
      <c r="K301" s="58"/>
    </row>
    <row r="302" spans="1:14" ht="30" customHeight="1" x14ac:dyDescent="0.25">
      <c r="A302" s="6" t="s">
        <v>376</v>
      </c>
      <c r="B302" s="28">
        <v>98689</v>
      </c>
      <c r="C302" s="91" t="str">
        <f>VLOOKUP(B302,S!$A:$D,2,FALSE)</f>
        <v>SOLEIRA EM GRANITO, LARGURA 15 CM, ESPESSURA 2,0 CM. AF_09/2020</v>
      </c>
      <c r="D302" s="91"/>
      <c r="E302" s="91"/>
      <c r="F302" s="92"/>
      <c r="G302" s="6" t="str">
        <f>VLOOKUP(B302,S!$A:$D,3,FALSE)</f>
        <v>M</v>
      </c>
      <c r="H302" s="21"/>
      <c r="I302" s="21">
        <f>J307</f>
        <v>77.489999999999995</v>
      </c>
      <c r="J302" s="76"/>
      <c r="K302" s="72"/>
      <c r="L302" s="21">
        <f>VLOOKUP(B302,S!$A:$D,4,FALSE)</f>
        <v>77.489999999999995</v>
      </c>
      <c r="M302" s="6" t="str">
        <f>IF(ROUND((L302-I302),2)=0,"OK, confere com a tabela.",IF(ROUND((L302-I302),2)&lt;0,"ACIMA ("&amp;TEXT(ROUND(I302*100/L302,4),"0,0000")&amp;" %) da tabela.","ABAIXO ("&amp;TEXT(ROUND(I302*100/L302,4),"0,0000")&amp;" %) da tabela."))</f>
        <v>OK, confere com a tabela.</v>
      </c>
    </row>
    <row r="303" spans="1:14" ht="45" customHeight="1" x14ac:dyDescent="0.25">
      <c r="A303" s="16" t="s">
        <v>306</v>
      </c>
      <c r="B303" s="20">
        <v>20232</v>
      </c>
      <c r="C303" s="77" t="str">
        <f>VLOOKUP(B303,IF(A303="COMPOSICAO",S!$A:$D,I!$A:$D),2,FALSE)</f>
        <v>SOLEIRA EM GRANITO, POLIDO, TIPO ANDORINHA/ QUARTZ/ CASTELO/ CORUMBA OU OUTROS EQUIVALENTES DA REGIAO, L= *15* CM, E=  *2,0* CM</v>
      </c>
      <c r="D303" s="77"/>
      <c r="E303" s="77"/>
      <c r="F303" s="77"/>
      <c r="G303" s="16" t="str">
        <f>VLOOKUP(B303,IF(A303="COMPOSICAO",S!$A:$D,I!$A:$D),3,FALSE)</f>
        <v>M</v>
      </c>
      <c r="H303" s="22">
        <f>1</f>
        <v>1</v>
      </c>
      <c r="I303" s="17">
        <f>IF(A303="COMPOSICAO",VLOOKUP("TOTAL - "&amp;B303,COMPOSICAO_AUX_1!$A:$J,10,FALSE),VLOOKUP(B303,I!$A:$D,4,FALSE))</f>
        <v>58.99</v>
      </c>
      <c r="J303" s="80">
        <f>TRUNC(H303*I303,2)</f>
        <v>58.99</v>
      </c>
      <c r="K303" s="81"/>
      <c r="L303" s="3"/>
      <c r="M303" s="3"/>
      <c r="N303" s="3"/>
    </row>
    <row r="304" spans="1:14" ht="15" customHeight="1" x14ac:dyDescent="0.25">
      <c r="A304" s="16" t="s">
        <v>306</v>
      </c>
      <c r="B304" s="20">
        <v>37595</v>
      </c>
      <c r="C304" s="77" t="str">
        <f>VLOOKUP(B304,IF(A304="COMPOSICAO",S!$A:$D,I!$A:$D),2,FALSE)</f>
        <v>ARGAMASSA COLANTE TIPO AC III</v>
      </c>
      <c r="D304" s="77"/>
      <c r="E304" s="77"/>
      <c r="F304" s="77"/>
      <c r="G304" s="16" t="str">
        <f>VLOOKUP(B304,IF(A304="COMPOSICAO",S!$A:$D,I!$A:$D),3,FALSE)</f>
        <v>KG</v>
      </c>
      <c r="H304" s="22">
        <f>1.29</f>
        <v>1.29</v>
      </c>
      <c r="I304" s="17">
        <f>IF(A304="COMPOSICAO",VLOOKUP("TOTAL - "&amp;B304,COMPOSICAO_AUX_1!$A:$J,10,FALSE),VLOOKUP(B304,I!$A:$D,4,FALSE))</f>
        <v>1.75</v>
      </c>
      <c r="J304" s="80">
        <f>TRUNC(H304*I304,2)</f>
        <v>2.25</v>
      </c>
      <c r="K304" s="81"/>
      <c r="L304" s="3"/>
      <c r="M304" s="3"/>
      <c r="N304" s="3"/>
    </row>
    <row r="305" spans="1:14" ht="30" customHeight="1" x14ac:dyDescent="0.25">
      <c r="A305" s="16" t="s">
        <v>302</v>
      </c>
      <c r="B305" s="20">
        <v>88274</v>
      </c>
      <c r="C305" s="77" t="str">
        <f>VLOOKUP(B305,IF(A305="COMPOSICAO",S!$A:$D,I!$A:$D),2,FALSE)</f>
        <v>MARMORISTA/GRANITEIRO COM ENCARGOS COMPLEMENTARES</v>
      </c>
      <c r="D305" s="77"/>
      <c r="E305" s="77"/>
      <c r="F305" s="77"/>
      <c r="G305" s="16" t="str">
        <f>VLOOKUP(B305,IF(A305="COMPOSICAO",S!$A:$D,I!$A:$D),3,FALSE)</f>
        <v>H</v>
      </c>
      <c r="H305" s="22">
        <f>0.547</f>
        <v>0.54700000000000004</v>
      </c>
      <c r="I305" s="17">
        <f>IF(A305="COMPOSICAO",VLOOKUP("TOTAL - "&amp;B305,COMPOSICAO_AUX_1!$A:$J,10,FALSE),VLOOKUP(B305,I!$A:$D,4,FALSE))</f>
        <v>22.059999999999995</v>
      </c>
      <c r="J305" s="80">
        <f>TRUNC(H305*I305,2)</f>
        <v>12.06</v>
      </c>
      <c r="K305" s="81"/>
      <c r="L305" s="3"/>
      <c r="M305" s="3"/>
      <c r="N305" s="3"/>
    </row>
    <row r="306" spans="1:14" ht="15" customHeight="1" x14ac:dyDescent="0.25">
      <c r="A306" s="16" t="s">
        <v>302</v>
      </c>
      <c r="B306" s="20">
        <v>88316</v>
      </c>
      <c r="C306" s="77" t="str">
        <f>VLOOKUP(B306,IF(A306="COMPOSICAO",S!$A:$D,I!$A:$D),2,FALSE)</f>
        <v>SERVENTE COM ENCARGOS COMPLEMENTARES</v>
      </c>
      <c r="D306" s="77"/>
      <c r="E306" s="77"/>
      <c r="F306" s="77"/>
      <c r="G306" s="16" t="str">
        <f>VLOOKUP(B306,IF(A306="COMPOSICAO",S!$A:$D,I!$A:$D),3,FALSE)</f>
        <v>H</v>
      </c>
      <c r="H306" s="22">
        <f>0.273</f>
        <v>0.27300000000000002</v>
      </c>
      <c r="I306" s="17">
        <f>IF(A306="COMPOSICAO",VLOOKUP("TOTAL - "&amp;B306,COMPOSICAO_AUX_1!$A:$J,10,FALSE),VLOOKUP(B306,I!$A:$D,4,FALSE))</f>
        <v>15.35</v>
      </c>
      <c r="J306" s="80">
        <f>TRUNC(H306*I306,2)</f>
        <v>4.1900000000000004</v>
      </c>
      <c r="K306" s="81"/>
      <c r="L306" s="3"/>
      <c r="M306" s="3"/>
      <c r="N306" s="3"/>
    </row>
    <row r="307" spans="1:14" ht="15" customHeight="1" x14ac:dyDescent="0.25">
      <c r="A307" s="23" t="s">
        <v>303</v>
      </c>
      <c r="B307" s="24"/>
      <c r="C307" s="24"/>
      <c r="D307" s="24"/>
      <c r="E307" s="24"/>
      <c r="F307" s="24"/>
      <c r="G307" s="25"/>
      <c r="H307" s="26"/>
      <c r="I307" s="27"/>
      <c r="J307" s="80">
        <f>SUM(J302:K306)</f>
        <v>77.489999999999995</v>
      </c>
      <c r="K307" s="81"/>
    </row>
    <row r="308" spans="1:14" ht="15" customHeight="1" x14ac:dyDescent="0.25">
      <c r="A308" s="23" t="str">
        <f>"TAXA DE BDI ("&amp;BDI&amp;" %)"</f>
        <v>TAXA DE BDI (20,8 %)</v>
      </c>
      <c r="B308" s="24"/>
      <c r="C308" s="24"/>
      <c r="D308" s="24"/>
      <c r="E308" s="24"/>
      <c r="F308" s="24"/>
      <c r="G308" s="25"/>
      <c r="H308" s="26"/>
      <c r="I308" s="27"/>
      <c r="J308" s="80">
        <f>ROUND(J307*(BDI/100),2)</f>
        <v>16.12</v>
      </c>
      <c r="K308" s="81"/>
    </row>
    <row r="309" spans="1:14" ht="15" customHeight="1" x14ac:dyDescent="0.25">
      <c r="A309" s="23" t="s">
        <v>379</v>
      </c>
      <c r="B309" s="24"/>
      <c r="C309" s="24"/>
      <c r="D309" s="24"/>
      <c r="E309" s="24"/>
      <c r="F309" s="24"/>
      <c r="G309" s="25"/>
      <c r="H309" s="26"/>
      <c r="I309" s="27"/>
      <c r="J309" s="80">
        <f>SUM(J307:K308)</f>
        <v>93.61</v>
      </c>
      <c r="K309" s="81"/>
    </row>
    <row r="310" spans="1:14" ht="15" customHeight="1" x14ac:dyDescent="0.25">
      <c r="A310" s="3"/>
      <c r="B310" s="3"/>
      <c r="C310" s="3"/>
      <c r="D310" s="3"/>
      <c r="E310" s="3"/>
      <c r="F310" s="3"/>
      <c r="G310" s="3"/>
      <c r="H310" s="3"/>
      <c r="I310" s="3"/>
      <c r="J310" s="3"/>
      <c r="K310" s="3"/>
    </row>
    <row r="311" spans="1:14" ht="15" customHeight="1" x14ac:dyDescent="0.25">
      <c r="A311" s="10" t="s">
        <v>295</v>
      </c>
      <c r="B311" s="10" t="s">
        <v>31</v>
      </c>
      <c r="C311" s="82" t="s">
        <v>7</v>
      </c>
      <c r="D311" s="83"/>
      <c r="E311" s="83"/>
      <c r="F311" s="83"/>
      <c r="G311" s="6" t="s">
        <v>32</v>
      </c>
      <c r="H311" s="6" t="s">
        <v>296</v>
      </c>
      <c r="I311" s="6" t="s">
        <v>297</v>
      </c>
      <c r="J311" s="57" t="s">
        <v>9</v>
      </c>
      <c r="K311" s="58"/>
    </row>
    <row r="312" spans="1:14" ht="45" customHeight="1" x14ac:dyDescent="0.25">
      <c r="A312" s="6" t="s">
        <v>11</v>
      </c>
      <c r="B312" s="6" t="s">
        <v>380</v>
      </c>
      <c r="C312" s="91" t="str">
        <f>VLOOKUP(B312,S!$A:$D,2,FALSE)</f>
        <v>DIVISÓRIA EM GRANITO CINZA ANDORINHA POLIDO, E=2CM, INCLUSIVE MONTAGEM COM FERRAGENS - REV 02</v>
      </c>
      <c r="D312" s="91"/>
      <c r="E312" s="91"/>
      <c r="F312" s="92"/>
      <c r="G312" s="6" t="str">
        <f>VLOOKUP(B312,S!$A:$D,3,FALSE)</f>
        <v>M2</v>
      </c>
      <c r="H312" s="21"/>
      <c r="I312" s="21">
        <f>J317</f>
        <v>521.51</v>
      </c>
      <c r="J312" s="76"/>
      <c r="K312" s="72"/>
      <c r="L312" s="21">
        <f>VLOOKUP(B312,S!$A:$D,4,FALSE)</f>
        <v>510.07</v>
      </c>
      <c r="M312" s="6" t="str">
        <f>IF(ROUND((L312-I312),2)=0,"OK, confere com a tabela.",IF(ROUND((L312-I312),2)&lt;0,"ACIMA ("&amp;TEXT(ROUND(I312*100/L312,4),"0,0000")&amp;" %) da tabela.","ABAIXO ("&amp;TEXT(ROUND(I312*100/L312,4),"0,0000")&amp;" %) da tabela."))</f>
        <v>ACIMA (102,2428 %) da tabela.</v>
      </c>
    </row>
    <row r="313" spans="1:14" ht="30" customHeight="1" x14ac:dyDescent="0.25">
      <c r="A313" s="16" t="s">
        <v>306</v>
      </c>
      <c r="B313" s="16" t="s">
        <v>381</v>
      </c>
      <c r="C313" s="77" t="str">
        <f>VLOOKUP(B313,IF(A313="COMPOSICAO",S!$A:$D,I!$A:$D),2,FALSE)</f>
        <v>PERFIL AÇO INOX, CANTONEIRA ABAS IGUAIS - 1" X 1/8" (1,19KG/M)</v>
      </c>
      <c r="D313" s="77"/>
      <c r="E313" s="77"/>
      <c r="F313" s="77"/>
      <c r="G313" s="16" t="str">
        <f>VLOOKUP(B313,IF(A313="COMPOSICAO",S!$A:$D,I!$A:$D),3,FALSE)</f>
        <v>M</v>
      </c>
      <c r="H313" s="22">
        <f>2.66</f>
        <v>2.66</v>
      </c>
      <c r="I313" s="17">
        <f>IF(A313="COMPOSICAO",VLOOKUP("TOTAL - "&amp;B313,COMPOSICAO_AUX_1!$A:$J,10,FALSE),VLOOKUP(B313,I!$A:$D,4,FALSE))</f>
        <v>11.29</v>
      </c>
      <c r="J313" s="80">
        <f t="shared" ref="J313:J316" si="10">TRUNC(H313*I313,2)</f>
        <v>30.03</v>
      </c>
      <c r="K313" s="81"/>
      <c r="L313" s="3"/>
      <c r="M313" s="3"/>
      <c r="N313" s="3"/>
    </row>
    <row r="314" spans="1:14" ht="30" customHeight="1" x14ac:dyDescent="0.25">
      <c r="A314" s="16" t="s">
        <v>306</v>
      </c>
      <c r="B314" s="16" t="s">
        <v>382</v>
      </c>
      <c r="C314" s="77" t="str">
        <f>VLOOKUP(B314,IF(A314="COMPOSICAO",S!$A:$D,I!$A:$D),2,FALSE)</f>
        <v>GRANITO CINZA ANDORINHA, BIPOLIDO, E=2CM PARA DIVISÓRIA</v>
      </c>
      <c r="D314" s="77"/>
      <c r="E314" s="77"/>
      <c r="F314" s="77"/>
      <c r="G314" s="16" t="str">
        <f>VLOOKUP(B314,IF(A314="COMPOSICAO",S!$A:$D,I!$A:$D),3,FALSE)</f>
        <v>M2</v>
      </c>
      <c r="H314" s="22">
        <f>1</f>
        <v>1</v>
      </c>
      <c r="I314" s="17">
        <f>IF(A314="COMPOSICAO",VLOOKUP("TOTAL - "&amp;B314,COMPOSICAO_AUX_1!$A:$J,10,FALSE),VLOOKUP(B314,I!$A:$D,4,FALSE))</f>
        <v>407</v>
      </c>
      <c r="J314" s="80">
        <f t="shared" si="10"/>
        <v>407</v>
      </c>
      <c r="K314" s="81"/>
      <c r="L314" s="3"/>
      <c r="M314" s="3"/>
      <c r="N314" s="3"/>
    </row>
    <row r="315" spans="1:14" ht="15" customHeight="1" x14ac:dyDescent="0.25">
      <c r="A315" s="16" t="s">
        <v>302</v>
      </c>
      <c r="B315" s="20">
        <v>88309</v>
      </c>
      <c r="C315" s="77" t="str">
        <f>VLOOKUP(B315,IF(A315="COMPOSICAO",S!$A:$D,I!$A:$D),2,FALSE)</f>
        <v>PEDREIRO COM ENCARGOS COMPLEMENTARES</v>
      </c>
      <c r="D315" s="77"/>
      <c r="E315" s="77"/>
      <c r="F315" s="77"/>
      <c r="G315" s="16" t="str">
        <f>VLOOKUP(B315,IF(A315="COMPOSICAO",S!$A:$D,I!$A:$D),3,FALSE)</f>
        <v>H</v>
      </c>
      <c r="H315" s="22">
        <f>2.4</f>
        <v>2.4</v>
      </c>
      <c r="I315" s="17">
        <f>IF(A315="COMPOSICAO",VLOOKUP("TOTAL - "&amp;B315,COMPOSICAO_AUX_1!$A:$J,10,FALSE),VLOOKUP(B315,I!$A:$D,4,FALSE))</f>
        <v>19.849999999999994</v>
      </c>
      <c r="J315" s="80">
        <f t="shared" si="10"/>
        <v>47.64</v>
      </c>
      <c r="K315" s="81"/>
      <c r="L315" s="3"/>
      <c r="M315" s="3"/>
      <c r="N315" s="3"/>
    </row>
    <row r="316" spans="1:14" ht="15" customHeight="1" x14ac:dyDescent="0.25">
      <c r="A316" s="16" t="s">
        <v>302</v>
      </c>
      <c r="B316" s="20">
        <v>88316</v>
      </c>
      <c r="C316" s="77" t="str">
        <f>VLOOKUP(B316,IF(A316="COMPOSICAO",S!$A:$D,I!$A:$D),2,FALSE)</f>
        <v>SERVENTE COM ENCARGOS COMPLEMENTARES</v>
      </c>
      <c r="D316" s="77"/>
      <c r="E316" s="77"/>
      <c r="F316" s="77"/>
      <c r="G316" s="16" t="str">
        <f>VLOOKUP(B316,IF(A316="COMPOSICAO",S!$A:$D,I!$A:$D),3,FALSE)</f>
        <v>H</v>
      </c>
      <c r="H316" s="22">
        <f>2.4</f>
        <v>2.4</v>
      </c>
      <c r="I316" s="17">
        <f>IF(A316="COMPOSICAO",VLOOKUP("TOTAL - "&amp;B316,COMPOSICAO_AUX_1!$A:$J,10,FALSE),VLOOKUP(B316,I!$A:$D,4,FALSE))</f>
        <v>15.35</v>
      </c>
      <c r="J316" s="80">
        <f t="shared" si="10"/>
        <v>36.840000000000003</v>
      </c>
      <c r="K316" s="81"/>
      <c r="L316" s="3"/>
      <c r="M316" s="3"/>
      <c r="N316" s="3"/>
    </row>
    <row r="317" spans="1:14" ht="15" customHeight="1" x14ac:dyDescent="0.25">
      <c r="A317" s="23" t="s">
        <v>303</v>
      </c>
      <c r="B317" s="24"/>
      <c r="C317" s="24"/>
      <c r="D317" s="24"/>
      <c r="E317" s="24"/>
      <c r="F317" s="24"/>
      <c r="G317" s="25"/>
      <c r="H317" s="26"/>
      <c r="I317" s="27"/>
      <c r="J317" s="80">
        <f>SUM(J312:K316)</f>
        <v>521.51</v>
      </c>
      <c r="K317" s="81"/>
    </row>
    <row r="318" spans="1:14" ht="15" customHeight="1" x14ac:dyDescent="0.25">
      <c r="A318" s="23" t="str">
        <f>"TAXA DE BDI ("&amp;BDI&amp;" %)"</f>
        <v>TAXA DE BDI (20,8 %)</v>
      </c>
      <c r="B318" s="24"/>
      <c r="C318" s="24"/>
      <c r="D318" s="24"/>
      <c r="E318" s="24"/>
      <c r="F318" s="24"/>
      <c r="G318" s="25"/>
      <c r="H318" s="26"/>
      <c r="I318" s="27"/>
      <c r="J318" s="80">
        <f>ROUND(J317*(BDI/100),2)</f>
        <v>108.47</v>
      </c>
      <c r="K318" s="81"/>
    </row>
    <row r="319" spans="1:14" ht="15" customHeight="1" x14ac:dyDescent="0.25">
      <c r="A319" s="23" t="s">
        <v>384</v>
      </c>
      <c r="B319" s="24"/>
      <c r="C319" s="24"/>
      <c r="D319" s="24"/>
      <c r="E319" s="24"/>
      <c r="F319" s="24"/>
      <c r="G319" s="25"/>
      <c r="H319" s="26"/>
      <c r="I319" s="27"/>
      <c r="J319" s="80">
        <f>SUM(J317:K318)</f>
        <v>629.98</v>
      </c>
      <c r="K319" s="81"/>
    </row>
    <row r="320" spans="1:14" ht="15" customHeight="1" x14ac:dyDescent="0.25">
      <c r="A320" s="3"/>
      <c r="B320" s="3"/>
      <c r="C320" s="3"/>
      <c r="D320" s="3"/>
      <c r="E320" s="3"/>
      <c r="F320" s="3"/>
      <c r="G320" s="3"/>
      <c r="H320" s="3"/>
      <c r="I320" s="3"/>
      <c r="J320" s="3"/>
      <c r="K320" s="3"/>
    </row>
    <row r="321" spans="1:14" ht="15" customHeight="1" x14ac:dyDescent="0.25">
      <c r="A321" s="10" t="s">
        <v>295</v>
      </c>
      <c r="B321" s="10" t="s">
        <v>31</v>
      </c>
      <c r="C321" s="82" t="s">
        <v>7</v>
      </c>
      <c r="D321" s="83"/>
      <c r="E321" s="83"/>
      <c r="F321" s="83"/>
      <c r="G321" s="6" t="s">
        <v>32</v>
      </c>
      <c r="H321" s="6" t="s">
        <v>296</v>
      </c>
      <c r="I321" s="6" t="s">
        <v>297</v>
      </c>
      <c r="J321" s="57" t="s">
        <v>9</v>
      </c>
      <c r="K321" s="58"/>
    </row>
    <row r="322" spans="1:14" ht="60" customHeight="1" x14ac:dyDescent="0.25">
      <c r="A322" s="6" t="s">
        <v>376</v>
      </c>
      <c r="B322" s="28">
        <v>94992</v>
      </c>
      <c r="C322" s="91" t="str">
        <f>VLOOKUP(B322,S!$A:$D,2,FALSE)</f>
        <v>EXECUÇÃO DE PASSEIO (CALÇADA) OU PISO DE CONCRETO COM CONCRETO MOLDADO IN LOCO, FEITO EM OBRA, ACABAMENTO CONVENCIONAL, ESPESSURA 6 CM, ARMADO. AF_07/2016</v>
      </c>
      <c r="D322" s="91"/>
      <c r="E322" s="91"/>
      <c r="F322" s="92"/>
      <c r="G322" s="6" t="str">
        <f>VLOOKUP(B322,S!$A:$D,3,FALSE)</f>
        <v>M2</v>
      </c>
      <c r="H322" s="21"/>
      <c r="I322" s="21">
        <f>J330</f>
        <v>82.25</v>
      </c>
      <c r="J322" s="76"/>
      <c r="K322" s="72"/>
      <c r="L322" s="21">
        <f>VLOOKUP(B322,S!$A:$D,4,FALSE)</f>
        <v>82.25</v>
      </c>
      <c r="M322" s="6" t="str">
        <f>IF(ROUND((L322-I322),2)=0,"OK, confere com a tabela.",IF(ROUND((L322-I322),2)&lt;0,"ACIMA ("&amp;TEXT(ROUND(I322*100/L322,4),"0,0000")&amp;" %) da tabela.","ABAIXO ("&amp;TEXT(ROUND(I322*100/L322,4),"0,0000")&amp;" %) da tabela."))</f>
        <v>OK, confere com a tabela.</v>
      </c>
    </row>
    <row r="323" spans="1:14" ht="15" customHeight="1" x14ac:dyDescent="0.25">
      <c r="A323" s="16" t="s">
        <v>306</v>
      </c>
      <c r="B323" s="20">
        <v>3777</v>
      </c>
      <c r="C323" s="77" t="str">
        <f>VLOOKUP(B323,IF(A323="COMPOSICAO",S!$A:$D,I!$A:$D),2,FALSE)</f>
        <v>LONA PLASTICA PESADA PRETA, E = 150 MICRA</v>
      </c>
      <c r="D323" s="77"/>
      <c r="E323" s="77"/>
      <c r="F323" s="77"/>
      <c r="G323" s="16" t="str">
        <f>VLOOKUP(B323,IF(A323="COMPOSICAO",S!$A:$D,I!$A:$D),3,FALSE)</f>
        <v>M2</v>
      </c>
      <c r="H323" s="22">
        <f>1.128</f>
        <v>1.1279999999999999</v>
      </c>
      <c r="I323" s="17">
        <f>IF(A323="COMPOSICAO",VLOOKUP("TOTAL - "&amp;B323,COMPOSICAO_AUX_1!$A:$J,10,FALSE),VLOOKUP(B323,I!$A:$D,4,FALSE))</f>
        <v>1.25</v>
      </c>
      <c r="J323" s="80">
        <f t="shared" ref="J323:J329" si="11">TRUNC(H323*I323,2)</f>
        <v>1.41</v>
      </c>
      <c r="K323" s="81"/>
      <c r="L323" s="3"/>
      <c r="M323" s="3"/>
      <c r="N323" s="3"/>
    </row>
    <row r="324" spans="1:14" ht="30" customHeight="1" x14ac:dyDescent="0.25">
      <c r="A324" s="16" t="s">
        <v>306</v>
      </c>
      <c r="B324" s="20">
        <v>4517</v>
      </c>
      <c r="C324" s="77" t="str">
        <f>VLOOKUP(B324,IF(A324="COMPOSICAO",S!$A:$D,I!$A:$D),2,FALSE)</f>
        <v>SARRAFO *2,5 X 7,5* CM EM PINUS, MISTA OU EQUIVALENTE DA REGIAO - BRUTA</v>
      </c>
      <c r="D324" s="77"/>
      <c r="E324" s="77"/>
      <c r="F324" s="77"/>
      <c r="G324" s="16" t="str">
        <f>VLOOKUP(B324,IF(A324="COMPOSICAO",S!$A:$D,I!$A:$D),3,FALSE)</f>
        <v>M</v>
      </c>
      <c r="H324" s="22">
        <f>0.45</f>
        <v>0.45</v>
      </c>
      <c r="I324" s="17">
        <f>IF(A324="COMPOSICAO",VLOOKUP("TOTAL - "&amp;B324,COMPOSICAO_AUX_1!$A:$J,10,FALSE),VLOOKUP(B324,I!$A:$D,4,FALSE))</f>
        <v>2.33</v>
      </c>
      <c r="J324" s="80">
        <f t="shared" si="11"/>
        <v>1.04</v>
      </c>
      <c r="K324" s="81"/>
      <c r="L324" s="3"/>
      <c r="M324" s="3"/>
      <c r="N324" s="3"/>
    </row>
    <row r="325" spans="1:14" ht="60" customHeight="1" x14ac:dyDescent="0.25">
      <c r="A325" s="16" t="s">
        <v>306</v>
      </c>
      <c r="B325" s="20">
        <v>7156</v>
      </c>
      <c r="C325" s="77" t="str">
        <f>VLOOKUP(B325,IF(A325="COMPOSICAO",S!$A:$D,I!$A:$D),2,FALSE)</f>
        <v>TELA DE ACO SOLDADA NERVURADA, CA-60, Q-196, (3,11 KG/M2), DIAMETRO DO FIO = 5,0 MM, LARGURA = 2,45 M, ESPACAMENTO DA MALHA = 10 X 10 CM</v>
      </c>
      <c r="D325" s="77"/>
      <c r="E325" s="77"/>
      <c r="F325" s="77"/>
      <c r="G325" s="16" t="str">
        <f>VLOOKUP(B325,IF(A325="COMPOSICAO",S!$A:$D,I!$A:$D),3,FALSE)</f>
        <v>M2</v>
      </c>
      <c r="H325" s="22">
        <f>1.1224</f>
        <v>1.1224000000000001</v>
      </c>
      <c r="I325" s="17">
        <f>IF(A325="COMPOSICAO",VLOOKUP("TOTAL - "&amp;B325,COMPOSICAO_AUX_1!$A:$J,10,FALSE),VLOOKUP(B325,I!$A:$D,4,FALSE))</f>
        <v>34.43</v>
      </c>
      <c r="J325" s="80">
        <f t="shared" si="11"/>
        <v>38.64</v>
      </c>
      <c r="K325" s="81"/>
      <c r="L325" s="3"/>
      <c r="M325" s="3"/>
      <c r="N325" s="3"/>
    </row>
    <row r="326" spans="1:14" ht="30" customHeight="1" x14ac:dyDescent="0.25">
      <c r="A326" s="16" t="s">
        <v>302</v>
      </c>
      <c r="B326" s="20">
        <v>88262</v>
      </c>
      <c r="C326" s="77" t="str">
        <f>VLOOKUP(B326,IF(A326="COMPOSICAO",S!$A:$D,I!$A:$D),2,FALSE)</f>
        <v>CARPINTEIRO DE FORMAS COM ENCARGOS COMPLEMENTARES</v>
      </c>
      <c r="D326" s="77"/>
      <c r="E326" s="77"/>
      <c r="F326" s="77"/>
      <c r="G326" s="16" t="str">
        <f>VLOOKUP(B326,IF(A326="COMPOSICAO",S!$A:$D,I!$A:$D),3,FALSE)</f>
        <v>H</v>
      </c>
      <c r="H326" s="22">
        <f>0.1354</f>
        <v>0.13539999999999999</v>
      </c>
      <c r="I326" s="17">
        <f>IF(A326="COMPOSICAO",VLOOKUP("TOTAL - "&amp;B326,COMPOSICAO_AUX_1!$A:$J,10,FALSE),VLOOKUP(B326,I!$A:$D,4,FALSE))</f>
        <v>19.649999999999999</v>
      </c>
      <c r="J326" s="80">
        <f t="shared" si="11"/>
        <v>2.66</v>
      </c>
      <c r="K326" s="81"/>
      <c r="L326" s="3"/>
      <c r="M326" s="3"/>
      <c r="N326" s="3"/>
    </row>
    <row r="327" spans="1:14" ht="15" customHeight="1" x14ac:dyDescent="0.25">
      <c r="A327" s="16" t="s">
        <v>302</v>
      </c>
      <c r="B327" s="20">
        <v>88309</v>
      </c>
      <c r="C327" s="77" t="str">
        <f>VLOOKUP(B327,IF(A327="COMPOSICAO",S!$A:$D,I!$A:$D),2,FALSE)</f>
        <v>PEDREIRO COM ENCARGOS COMPLEMENTARES</v>
      </c>
      <c r="D327" s="77"/>
      <c r="E327" s="77"/>
      <c r="F327" s="77"/>
      <c r="G327" s="16" t="str">
        <f>VLOOKUP(B327,IF(A327="COMPOSICAO",S!$A:$D,I!$A:$D),3,FALSE)</f>
        <v>H</v>
      </c>
      <c r="H327" s="22">
        <f>0.2217</f>
        <v>0.22170000000000001</v>
      </c>
      <c r="I327" s="17">
        <f>IF(A327="COMPOSICAO",VLOOKUP("TOTAL - "&amp;B327,COMPOSICAO_AUX_1!$A:$J,10,FALSE),VLOOKUP(B327,I!$A:$D,4,FALSE))</f>
        <v>19.849999999999994</v>
      </c>
      <c r="J327" s="80">
        <f t="shared" si="11"/>
        <v>4.4000000000000004</v>
      </c>
      <c r="K327" s="81"/>
      <c r="L327" s="3"/>
      <c r="M327" s="3"/>
      <c r="N327" s="3"/>
    </row>
    <row r="328" spans="1:14" ht="15" customHeight="1" x14ac:dyDescent="0.25">
      <c r="A328" s="16" t="s">
        <v>302</v>
      </c>
      <c r="B328" s="20">
        <v>88316</v>
      </c>
      <c r="C328" s="77" t="str">
        <f>VLOOKUP(B328,IF(A328="COMPOSICAO",S!$A:$D,I!$A:$D),2,FALSE)</f>
        <v>SERVENTE COM ENCARGOS COMPLEMENTARES</v>
      </c>
      <c r="D328" s="77"/>
      <c r="E328" s="77"/>
      <c r="F328" s="77"/>
      <c r="G328" s="16" t="str">
        <f>VLOOKUP(B328,IF(A328="COMPOSICAO",S!$A:$D,I!$A:$D),3,FALSE)</f>
        <v>H</v>
      </c>
      <c r="H328" s="22">
        <f>0.357</f>
        <v>0.35699999999999998</v>
      </c>
      <c r="I328" s="17">
        <f>IF(A328="COMPOSICAO",VLOOKUP("TOTAL - "&amp;B328,COMPOSICAO_AUX_1!$A:$J,10,FALSE),VLOOKUP(B328,I!$A:$D,4,FALSE))</f>
        <v>15.35</v>
      </c>
      <c r="J328" s="80">
        <f t="shared" si="11"/>
        <v>5.47</v>
      </c>
      <c r="K328" s="81"/>
      <c r="L328" s="3"/>
      <c r="M328" s="3"/>
      <c r="N328" s="3"/>
    </row>
    <row r="329" spans="1:14" ht="60" customHeight="1" x14ac:dyDescent="0.25">
      <c r="A329" s="16" t="s">
        <v>302</v>
      </c>
      <c r="B329" s="20">
        <v>94964</v>
      </c>
      <c r="C329" s="77" t="str">
        <f>VLOOKUP(B329,IF(A329="COMPOSICAO",S!$A:$D,I!$A:$D),2,FALSE)</f>
        <v>CONCRETO FCK = 20MPA, TRAÇO 1:2,7:3 (EM MASSA SECA DE CIMENTO/ AREIA MÉDIA/ BRITA 1) - PREPARO MECÂNICO COM BETONEIRA 400 L. AF_05/2021</v>
      </c>
      <c r="D329" s="77"/>
      <c r="E329" s="77"/>
      <c r="F329" s="77"/>
      <c r="G329" s="16" t="str">
        <f>VLOOKUP(B329,IF(A329="COMPOSICAO",S!$A:$D,I!$A:$D),3,FALSE)</f>
        <v>M3</v>
      </c>
      <c r="H329" s="22">
        <f>0.0728</f>
        <v>7.2800000000000004E-2</v>
      </c>
      <c r="I329" s="17">
        <f>IF(A329="COMPOSICAO",VLOOKUP("TOTAL - "&amp;B329,COMPOSICAO_AUX_1!$A:$J,10,FALSE),VLOOKUP(B329,I!$A:$D,4,FALSE))</f>
        <v>393.27999999999992</v>
      </c>
      <c r="J329" s="80">
        <f t="shared" si="11"/>
        <v>28.63</v>
      </c>
      <c r="K329" s="81"/>
      <c r="L329" s="3"/>
      <c r="M329" s="3"/>
      <c r="N329" s="3"/>
    </row>
    <row r="330" spans="1:14" ht="15" customHeight="1" x14ac:dyDescent="0.25">
      <c r="A330" s="23" t="s">
        <v>303</v>
      </c>
      <c r="B330" s="24"/>
      <c r="C330" s="24"/>
      <c r="D330" s="24"/>
      <c r="E330" s="24"/>
      <c r="F330" s="24"/>
      <c r="G330" s="25"/>
      <c r="H330" s="26"/>
      <c r="I330" s="27"/>
      <c r="J330" s="80">
        <f>SUM(J322:K329)</f>
        <v>82.25</v>
      </c>
      <c r="K330" s="81"/>
    </row>
    <row r="331" spans="1:14" ht="15" customHeight="1" x14ac:dyDescent="0.25">
      <c r="A331" s="23" t="str">
        <f>"TAXA DE BDI ("&amp;BDI&amp;" %)"</f>
        <v>TAXA DE BDI (20,8 %)</v>
      </c>
      <c r="B331" s="24"/>
      <c r="C331" s="24"/>
      <c r="D331" s="24"/>
      <c r="E331" s="24"/>
      <c r="F331" s="24"/>
      <c r="G331" s="25"/>
      <c r="H331" s="26"/>
      <c r="I331" s="27"/>
      <c r="J331" s="80">
        <f>ROUND(J330*(BDI/100),2)</f>
        <v>17.11</v>
      </c>
      <c r="K331" s="81"/>
    </row>
    <row r="332" spans="1:14" ht="15" customHeight="1" x14ac:dyDescent="0.25">
      <c r="A332" s="23" t="s">
        <v>385</v>
      </c>
      <c r="B332" s="24"/>
      <c r="C332" s="24"/>
      <c r="D332" s="24"/>
      <c r="E332" s="24"/>
      <c r="F332" s="24"/>
      <c r="G332" s="25"/>
      <c r="H332" s="26"/>
      <c r="I332" s="27"/>
      <c r="J332" s="80">
        <f>SUM(J330:K331)</f>
        <v>99.36</v>
      </c>
      <c r="K332" s="81"/>
    </row>
    <row r="333" spans="1:14" ht="15" customHeight="1" x14ac:dyDescent="0.25">
      <c r="A333" s="3"/>
      <c r="B333" s="3"/>
      <c r="C333" s="3"/>
      <c r="D333" s="3"/>
      <c r="E333" s="3"/>
      <c r="F333" s="3"/>
      <c r="G333" s="3"/>
      <c r="H333" s="3"/>
      <c r="I333" s="3"/>
      <c r="J333" s="3"/>
      <c r="K333" s="3"/>
    </row>
    <row r="334" spans="1:14" ht="15" customHeight="1" x14ac:dyDescent="0.25">
      <c r="A334" s="10" t="s">
        <v>295</v>
      </c>
      <c r="B334" s="10" t="s">
        <v>31</v>
      </c>
      <c r="C334" s="82" t="s">
        <v>7</v>
      </c>
      <c r="D334" s="83"/>
      <c r="E334" s="83"/>
      <c r="F334" s="83"/>
      <c r="G334" s="6" t="s">
        <v>32</v>
      </c>
      <c r="H334" s="6" t="s">
        <v>296</v>
      </c>
      <c r="I334" s="6" t="s">
        <v>297</v>
      </c>
      <c r="J334" s="57" t="s">
        <v>9</v>
      </c>
      <c r="K334" s="58"/>
    </row>
    <row r="335" spans="1:14" ht="45" customHeight="1" x14ac:dyDescent="0.25">
      <c r="A335" s="6" t="s">
        <v>386</v>
      </c>
      <c r="B335" s="28">
        <v>91341</v>
      </c>
      <c r="C335" s="91" t="str">
        <f>VLOOKUP(B335,S!$A:$D,2,FALSE)</f>
        <v>PORTA EM ALUMÍNIO DE ABRIR TIPO VENEZIANA COM GUARNIÇÃO, FIXAÇÃO COM PARAFUSOS - FORNECIMENTO E INSTALAÇÃO. AF_12/2019</v>
      </c>
      <c r="D335" s="91"/>
      <c r="E335" s="91"/>
      <c r="F335" s="92"/>
      <c r="G335" s="6" t="str">
        <f>VLOOKUP(B335,S!$A:$D,3,FALSE)</f>
        <v>M2</v>
      </c>
      <c r="H335" s="21"/>
      <c r="I335" s="21">
        <f>J342</f>
        <v>547.84</v>
      </c>
      <c r="J335" s="76"/>
      <c r="K335" s="72"/>
      <c r="L335" s="21">
        <f>VLOOKUP(B335,S!$A:$D,4,FALSE)</f>
        <v>547.84</v>
      </c>
      <c r="M335" s="6" t="str">
        <f>IF(ROUND((L335-I335),2)=0,"OK, confere com a tabela.",IF(ROUND((L335-I335),2)&lt;0,"ACIMA ("&amp;TEXT(ROUND(I335*100/L335,4),"0,0000")&amp;" %) da tabela.","ABAIXO ("&amp;TEXT(ROUND(I335*100/L335,4),"0,0000")&amp;" %) da tabela."))</f>
        <v>OK, confere com a tabela.</v>
      </c>
    </row>
    <row r="336" spans="1:14" ht="30" customHeight="1" x14ac:dyDescent="0.25">
      <c r="A336" s="16" t="s">
        <v>306</v>
      </c>
      <c r="B336" s="20">
        <v>142</v>
      </c>
      <c r="C336" s="77" t="str">
        <f>VLOOKUP(B336,IF(A336="COMPOSICAO",S!$A:$D,I!$A:$D),2,FALSE)</f>
        <v>SELANTE ELASTICO MONOCOMPONENTE A BASE DE POLIURETANO (PU) PARA JUNTAS DIVERSAS</v>
      </c>
      <c r="D336" s="77"/>
      <c r="E336" s="77"/>
      <c r="F336" s="77"/>
      <c r="G336" s="16" t="str">
        <f>VLOOKUP(B336,IF(A336="COMPOSICAO",S!$A:$D,I!$A:$D),3,FALSE)</f>
        <v>310ML</v>
      </c>
      <c r="H336" s="22">
        <f>0.8829</f>
        <v>0.88290000000000002</v>
      </c>
      <c r="I336" s="17">
        <f>IF(A336="COMPOSICAO",VLOOKUP("TOTAL - "&amp;B336,COMPOSICAO_AUX_1!$A:$J,10,FALSE),VLOOKUP(B336,I!$A:$D,4,FALSE))</f>
        <v>34.619999999999997</v>
      </c>
      <c r="J336" s="80">
        <f t="shared" ref="J336:J341" si="12">TRUNC(H336*I336,2)</f>
        <v>30.56</v>
      </c>
      <c r="K336" s="81"/>
      <c r="L336" s="3"/>
      <c r="M336" s="3"/>
      <c r="N336" s="3"/>
    </row>
    <row r="337" spans="1:14" ht="45" customHeight="1" x14ac:dyDescent="0.25">
      <c r="A337" s="16" t="s">
        <v>306</v>
      </c>
      <c r="B337" s="20">
        <v>7568</v>
      </c>
      <c r="C337" s="77" t="str">
        <f>VLOOKUP(B337,IF(A337="COMPOSICAO",S!$A:$D,I!$A:$D),2,FALSE)</f>
        <v>BUCHA DE NYLON SEM ABA S10, COM PARAFUSO DE 6,10 X 65 MM EM ACO ZINCADO COM ROSCA SOBERBA, CABECA CHATA E FENDA PHILLIPS</v>
      </c>
      <c r="D337" s="77"/>
      <c r="E337" s="77"/>
      <c r="F337" s="77"/>
      <c r="G337" s="16" t="str">
        <f>VLOOKUP(B337,IF(A337="COMPOSICAO",S!$A:$D,I!$A:$D),3,FALSE)</f>
        <v>UN</v>
      </c>
      <c r="H337" s="22">
        <f>4.8166</f>
        <v>4.8166000000000002</v>
      </c>
      <c r="I337" s="17">
        <f>IF(A337="COMPOSICAO",VLOOKUP("TOTAL - "&amp;B337,COMPOSICAO_AUX_1!$A:$J,10,FALSE),VLOOKUP(B337,I!$A:$D,4,FALSE))</f>
        <v>0.43</v>
      </c>
      <c r="J337" s="80">
        <f t="shared" si="12"/>
        <v>2.0699999999999998</v>
      </c>
      <c r="K337" s="81"/>
      <c r="L337" s="3"/>
      <c r="M337" s="3"/>
      <c r="N337" s="3"/>
    </row>
    <row r="338" spans="1:14" ht="30" customHeight="1" x14ac:dyDescent="0.25">
      <c r="A338" s="16" t="s">
        <v>306</v>
      </c>
      <c r="B338" s="20">
        <v>36888</v>
      </c>
      <c r="C338" s="77" t="str">
        <f>VLOOKUP(B338,IF(A338="COMPOSICAO",S!$A:$D,I!$A:$D),2,FALSE)</f>
        <v>GUARNICAO/MOLDURA DE ACABAMENTO PARA ESQUADRIA DE ALUMINIO ANODIZADO NATURAL, PARA 1 FACE</v>
      </c>
      <c r="D338" s="77"/>
      <c r="E338" s="77"/>
      <c r="F338" s="77"/>
      <c r="G338" s="16" t="str">
        <f>VLOOKUP(B338,IF(A338="COMPOSICAO",S!$A:$D,I!$A:$D),3,FALSE)</f>
        <v>M</v>
      </c>
      <c r="H338" s="22">
        <f>6.8504</f>
        <v>6.8503999999999996</v>
      </c>
      <c r="I338" s="17">
        <f>IF(A338="COMPOSICAO",VLOOKUP("TOTAL - "&amp;B338,COMPOSICAO_AUX_1!$A:$J,10,FALSE),VLOOKUP(B338,I!$A:$D,4,FALSE))</f>
        <v>13.18</v>
      </c>
      <c r="J338" s="80">
        <f t="shared" si="12"/>
        <v>90.28</v>
      </c>
      <c r="K338" s="81"/>
      <c r="L338" s="3"/>
      <c r="M338" s="3"/>
      <c r="N338" s="3"/>
    </row>
    <row r="339" spans="1:14" ht="45" customHeight="1" x14ac:dyDescent="0.25">
      <c r="A339" s="16" t="s">
        <v>306</v>
      </c>
      <c r="B339" s="20">
        <v>39025</v>
      </c>
      <c r="C339" s="77" t="str">
        <f>VLOOKUP(B339,IF(A339="COMPOSICAO",S!$A:$D,I!$A:$D),2,FALSE)</f>
        <v>PORTA DE ABRIR EM ALUMINIO TIPO VENEZIANA, ACABAMENTO ANODIZADO NATURAL, SEM GUARNICAO/ALIZAR/VISTA, 87 X 210 CM</v>
      </c>
      <c r="D339" s="77"/>
      <c r="E339" s="77"/>
      <c r="F339" s="77"/>
      <c r="G339" s="16" t="str">
        <f>VLOOKUP(B339,IF(A339="COMPOSICAO",S!$A:$D,I!$A:$D),3,FALSE)</f>
        <v>UN</v>
      </c>
      <c r="H339" s="22">
        <f>0.5473</f>
        <v>0.54730000000000001</v>
      </c>
      <c r="I339" s="17">
        <f>IF(A339="COMPOSICAO",VLOOKUP("TOTAL - "&amp;B339,COMPOSICAO_AUX_1!$A:$J,10,FALSE),VLOOKUP(B339,I!$A:$D,4,FALSE))</f>
        <v>757.19</v>
      </c>
      <c r="J339" s="80">
        <f t="shared" si="12"/>
        <v>414.41</v>
      </c>
      <c r="K339" s="81"/>
      <c r="L339" s="3"/>
      <c r="M339" s="3"/>
      <c r="N339" s="3"/>
    </row>
    <row r="340" spans="1:14" ht="15" customHeight="1" x14ac:dyDescent="0.25">
      <c r="A340" s="16" t="s">
        <v>302</v>
      </c>
      <c r="B340" s="20">
        <v>88309</v>
      </c>
      <c r="C340" s="77" t="str">
        <f>VLOOKUP(B340,IF(A340="COMPOSICAO",S!$A:$D,I!$A:$D),2,FALSE)</f>
        <v>PEDREIRO COM ENCARGOS COMPLEMENTARES</v>
      </c>
      <c r="D340" s="77"/>
      <c r="E340" s="77"/>
      <c r="F340" s="77"/>
      <c r="G340" s="16" t="str">
        <f>VLOOKUP(B340,IF(A340="COMPOSICAO",S!$A:$D,I!$A:$D),3,FALSE)</f>
        <v>H</v>
      </c>
      <c r="H340" s="22">
        <f>0.3826</f>
        <v>0.3826</v>
      </c>
      <c r="I340" s="17">
        <f>IF(A340="COMPOSICAO",VLOOKUP("TOTAL - "&amp;B340,COMPOSICAO_AUX_1!$A:$J,10,FALSE),VLOOKUP(B340,I!$A:$D,4,FALSE))</f>
        <v>19.849999999999994</v>
      </c>
      <c r="J340" s="80">
        <f t="shared" si="12"/>
        <v>7.59</v>
      </c>
      <c r="K340" s="81"/>
      <c r="L340" s="3"/>
      <c r="M340" s="3"/>
      <c r="N340" s="3"/>
    </row>
    <row r="341" spans="1:14" ht="15" customHeight="1" x14ac:dyDescent="0.25">
      <c r="A341" s="16" t="s">
        <v>302</v>
      </c>
      <c r="B341" s="20">
        <v>88316</v>
      </c>
      <c r="C341" s="77" t="str">
        <f>VLOOKUP(B341,IF(A341="COMPOSICAO",S!$A:$D,I!$A:$D),2,FALSE)</f>
        <v>SERVENTE COM ENCARGOS COMPLEMENTARES</v>
      </c>
      <c r="D341" s="77"/>
      <c r="E341" s="77"/>
      <c r="F341" s="77"/>
      <c r="G341" s="16" t="str">
        <f>VLOOKUP(B341,IF(A341="COMPOSICAO",S!$A:$D,I!$A:$D),3,FALSE)</f>
        <v>H</v>
      </c>
      <c r="H341" s="22">
        <f>0.191</f>
        <v>0.191</v>
      </c>
      <c r="I341" s="17">
        <f>IF(A341="COMPOSICAO",VLOOKUP("TOTAL - "&amp;B341,COMPOSICAO_AUX_1!$A:$J,10,FALSE),VLOOKUP(B341,I!$A:$D,4,FALSE))</f>
        <v>15.35</v>
      </c>
      <c r="J341" s="80">
        <f t="shared" si="12"/>
        <v>2.93</v>
      </c>
      <c r="K341" s="81"/>
      <c r="L341" s="3"/>
      <c r="M341" s="3"/>
      <c r="N341" s="3"/>
    </row>
    <row r="342" spans="1:14" ht="15" customHeight="1" x14ac:dyDescent="0.25">
      <c r="A342" s="23" t="s">
        <v>303</v>
      </c>
      <c r="B342" s="24"/>
      <c r="C342" s="24"/>
      <c r="D342" s="24"/>
      <c r="E342" s="24"/>
      <c r="F342" s="24"/>
      <c r="G342" s="25"/>
      <c r="H342" s="26"/>
      <c r="I342" s="27"/>
      <c r="J342" s="80">
        <f>SUM(J335:K341)</f>
        <v>547.84</v>
      </c>
      <c r="K342" s="81"/>
    </row>
    <row r="343" spans="1:14" ht="15" customHeight="1" x14ac:dyDescent="0.25">
      <c r="A343" s="23" t="str">
        <f>"TAXA DE BDI ("&amp;BDI&amp;" %)"</f>
        <v>TAXA DE BDI (20,8 %)</v>
      </c>
      <c r="B343" s="24"/>
      <c r="C343" s="24"/>
      <c r="D343" s="24"/>
      <c r="E343" s="24"/>
      <c r="F343" s="24"/>
      <c r="G343" s="25"/>
      <c r="H343" s="26"/>
      <c r="I343" s="27"/>
      <c r="J343" s="80">
        <f>ROUND(J342*(BDI/100),2)</f>
        <v>113.95</v>
      </c>
      <c r="K343" s="81"/>
    </row>
    <row r="344" spans="1:14" ht="15" customHeight="1" x14ac:dyDescent="0.25">
      <c r="A344" s="23" t="s">
        <v>387</v>
      </c>
      <c r="B344" s="24"/>
      <c r="C344" s="24"/>
      <c r="D344" s="24"/>
      <c r="E344" s="24"/>
      <c r="F344" s="24"/>
      <c r="G344" s="25"/>
      <c r="H344" s="26"/>
      <c r="I344" s="27"/>
      <c r="J344" s="80">
        <f>SUM(J342:K343)</f>
        <v>661.79000000000008</v>
      </c>
      <c r="K344" s="81"/>
    </row>
    <row r="345" spans="1:14" ht="15" customHeight="1" x14ac:dyDescent="0.25">
      <c r="A345" s="3"/>
      <c r="B345" s="3"/>
      <c r="C345" s="3"/>
      <c r="D345" s="3"/>
      <c r="E345" s="3"/>
      <c r="F345" s="3"/>
      <c r="G345" s="3"/>
      <c r="H345" s="3"/>
      <c r="I345" s="3"/>
      <c r="J345" s="3"/>
      <c r="K345" s="3"/>
    </row>
    <row r="346" spans="1:14" ht="15" customHeight="1" x14ac:dyDescent="0.25">
      <c r="A346" s="10" t="s">
        <v>295</v>
      </c>
      <c r="B346" s="10" t="s">
        <v>31</v>
      </c>
      <c r="C346" s="82" t="s">
        <v>7</v>
      </c>
      <c r="D346" s="83"/>
      <c r="E346" s="83"/>
      <c r="F346" s="83"/>
      <c r="G346" s="6" t="s">
        <v>32</v>
      </c>
      <c r="H346" s="6" t="s">
        <v>296</v>
      </c>
      <c r="I346" s="6" t="s">
        <v>297</v>
      </c>
      <c r="J346" s="57" t="s">
        <v>9</v>
      </c>
      <c r="K346" s="58"/>
    </row>
    <row r="347" spans="1:14" ht="15" customHeight="1" x14ac:dyDescent="0.25">
      <c r="A347" s="6" t="s">
        <v>11</v>
      </c>
      <c r="B347" s="6" t="s">
        <v>388</v>
      </c>
      <c r="C347" s="91" t="str">
        <f>VLOOKUP(B347,S!$A:$D,2,FALSE)</f>
        <v>PORTA DE ALUMÍNIO C/VIDRO CRISTAL TEMPERADO</v>
      </c>
      <c r="D347" s="91"/>
      <c r="E347" s="91"/>
      <c r="F347" s="92"/>
      <c r="G347" s="6" t="str">
        <f>VLOOKUP(B347,S!$A:$D,3,FALSE)</f>
        <v>M2</v>
      </c>
      <c r="H347" s="21"/>
      <c r="I347" s="21">
        <f>J355</f>
        <v>389.07000000000005</v>
      </c>
      <c r="J347" s="76"/>
      <c r="K347" s="72"/>
      <c r="L347" s="21">
        <f>VLOOKUP(B347,S!$A:$D,4,FALSE)</f>
        <v>398.56</v>
      </c>
      <c r="M347" s="6" t="str">
        <f>IF(ROUND((L347-I347),2)=0,"OK, confere com a tabela.",IF(ROUND((L347-I347),2)&lt;0,"ACIMA ("&amp;TEXT(ROUND(I347*100/L347,4),"0,0000")&amp;" %) da tabela.","ABAIXO ("&amp;TEXT(ROUND(I347*100/L347,4),"0,0000")&amp;" %) da tabela."))</f>
        <v>ABAIXO (97,6189 %) da tabela.</v>
      </c>
    </row>
    <row r="348" spans="1:14" ht="15" customHeight="1" x14ac:dyDescent="0.25">
      <c r="A348" s="16" t="s">
        <v>302</v>
      </c>
      <c r="B348" s="16">
        <v>88309</v>
      </c>
      <c r="C348" s="77" t="str">
        <f>VLOOKUP(B348,IF(A348="COMPOSICAO",S!$A:$D,I!$A:$D),2,FALSE)</f>
        <v>PEDREIRO COM ENCARGOS COMPLEMENTARES</v>
      </c>
      <c r="D348" s="77"/>
      <c r="E348" s="77"/>
      <c r="F348" s="77"/>
      <c r="G348" s="16" t="str">
        <f>VLOOKUP(B348,IF(A348="COMPOSICAO",S!$A:$D,I!$A:$D),3,FALSE)</f>
        <v>H</v>
      </c>
      <c r="H348" s="22">
        <f>1.5</f>
        <v>1.5</v>
      </c>
      <c r="I348" s="17">
        <f>IF(A348="COMPOSICAO",VLOOKUP("TOTAL - "&amp;B348,COMPOSICAO_AUX_1!$A:$J,10,FALSE),VLOOKUP(B348,I!$A:$D,4,FALSE))</f>
        <v>19.849999999999994</v>
      </c>
      <c r="J348" s="80">
        <f t="shared" ref="J348:J354" si="13">TRUNC(H348*I348,2)</f>
        <v>29.77</v>
      </c>
      <c r="K348" s="81"/>
      <c r="L348" s="3"/>
      <c r="M348" s="3"/>
      <c r="N348" s="3"/>
    </row>
    <row r="349" spans="1:14" ht="15" customHeight="1" x14ac:dyDescent="0.25">
      <c r="A349" s="16" t="s">
        <v>302</v>
      </c>
      <c r="B349" s="16">
        <v>88316</v>
      </c>
      <c r="C349" s="77" t="str">
        <f>VLOOKUP(B349,IF(A349="COMPOSICAO",S!$A:$D,I!$A:$D),2,FALSE)</f>
        <v>SERVENTE COM ENCARGOS COMPLEMENTARES</v>
      </c>
      <c r="D349" s="77"/>
      <c r="E349" s="77"/>
      <c r="F349" s="77"/>
      <c r="G349" s="16" t="str">
        <f>VLOOKUP(B349,IF(A349="COMPOSICAO",S!$A:$D,I!$A:$D),3,FALSE)</f>
        <v>H</v>
      </c>
      <c r="H349" s="22">
        <f>2.5</f>
        <v>2.5</v>
      </c>
      <c r="I349" s="17">
        <f>IF(A349="COMPOSICAO",VLOOKUP("TOTAL - "&amp;B349,COMPOSICAO_AUX_1!$A:$J,10,FALSE),VLOOKUP(B349,I!$A:$D,4,FALSE))</f>
        <v>15.35</v>
      </c>
      <c r="J349" s="80">
        <f t="shared" si="13"/>
        <v>38.369999999999997</v>
      </c>
      <c r="K349" s="81"/>
      <c r="L349" s="3"/>
      <c r="M349" s="3"/>
      <c r="N349" s="3"/>
    </row>
    <row r="350" spans="1:14" ht="15" customHeight="1" x14ac:dyDescent="0.25">
      <c r="A350" s="16" t="s">
        <v>306</v>
      </c>
      <c r="B350" s="16" t="s">
        <v>356</v>
      </c>
      <c r="C350" s="77" t="str">
        <f>VLOOKUP(B350,IF(A350="COMPOSICAO",S!$A:$D,I!$A:$D),2,FALSE)</f>
        <v>AREIA MEDIA</v>
      </c>
      <c r="D350" s="77"/>
      <c r="E350" s="77"/>
      <c r="F350" s="77"/>
      <c r="G350" s="16" t="str">
        <f>VLOOKUP(B350,IF(A350="COMPOSICAO",S!$A:$D,I!$A:$D),3,FALSE)</f>
        <v>M3</v>
      </c>
      <c r="H350" s="22">
        <f>0.0029</f>
        <v>2.8999999999999998E-3</v>
      </c>
      <c r="I350" s="17">
        <f>IF(A350="COMPOSICAO",VLOOKUP("TOTAL - "&amp;B350,COMPOSICAO_AUX_1!$A:$J,10,FALSE),VLOOKUP(B350,I!$A:$D,4,FALSE))</f>
        <v>67.5</v>
      </c>
      <c r="J350" s="80">
        <f t="shared" si="13"/>
        <v>0.19</v>
      </c>
      <c r="K350" s="81"/>
      <c r="L350" s="3"/>
      <c r="M350" s="3"/>
      <c r="N350" s="3"/>
    </row>
    <row r="351" spans="1:14" ht="15" customHeight="1" x14ac:dyDescent="0.25">
      <c r="A351" s="16" t="s">
        <v>306</v>
      </c>
      <c r="B351" s="16" t="s">
        <v>357</v>
      </c>
      <c r="C351" s="77" t="str">
        <f>VLOOKUP(B351,IF(A351="COMPOSICAO",S!$A:$D,I!$A:$D),2,FALSE)</f>
        <v>CIMENTO PORTLAND</v>
      </c>
      <c r="D351" s="77"/>
      <c r="E351" s="77"/>
      <c r="F351" s="77"/>
      <c r="G351" s="16" t="str">
        <f>VLOOKUP(B351,IF(A351="COMPOSICAO",S!$A:$D,I!$A:$D),3,FALSE)</f>
        <v>KG</v>
      </c>
      <c r="H351" s="22">
        <f>1.17</f>
        <v>1.17</v>
      </c>
      <c r="I351" s="17">
        <f>IF(A351="COMPOSICAO",VLOOKUP("TOTAL - "&amp;B351,COMPOSICAO_AUX_1!$A:$J,10,FALSE),VLOOKUP(B351,I!$A:$D,4,FALSE))</f>
        <v>0.56000000000000005</v>
      </c>
      <c r="J351" s="80">
        <f t="shared" si="13"/>
        <v>0.65</v>
      </c>
      <c r="K351" s="81"/>
      <c r="L351" s="3"/>
      <c r="M351" s="3"/>
      <c r="N351" s="3"/>
    </row>
    <row r="352" spans="1:14" ht="15" customHeight="1" x14ac:dyDescent="0.25">
      <c r="A352" s="16" t="s">
        <v>306</v>
      </c>
      <c r="B352" s="16" t="s">
        <v>389</v>
      </c>
      <c r="C352" s="77" t="str">
        <f>VLOOKUP(B352,IF(A352="COMPOSICAO",S!$A:$D,I!$A:$D),2,FALSE)</f>
        <v>MASSA IGAS PARA CAIXILHO DE ALUMINIO</v>
      </c>
      <c r="D352" s="77"/>
      <c r="E352" s="77"/>
      <c r="F352" s="77"/>
      <c r="G352" s="16" t="str">
        <f>VLOOKUP(B352,IF(A352="COMPOSICAO",S!$A:$D,I!$A:$D),3,FALSE)</f>
        <v>KG</v>
      </c>
      <c r="H352" s="22">
        <f>1.5</f>
        <v>1.5</v>
      </c>
      <c r="I352" s="17">
        <f>IF(A352="COMPOSICAO",VLOOKUP("TOTAL - "&amp;B352,COMPOSICAO_AUX_1!$A:$J,10,FALSE),VLOOKUP(B352,I!$A:$D,4,FALSE))</f>
        <v>8.41</v>
      </c>
      <c r="J352" s="80">
        <f t="shared" si="13"/>
        <v>12.61</v>
      </c>
      <c r="K352" s="81"/>
      <c r="L352" s="3"/>
      <c r="M352" s="3"/>
      <c r="N352" s="3"/>
    </row>
    <row r="353" spans="1:14" ht="30" customHeight="1" x14ac:dyDescent="0.25">
      <c r="A353" s="16" t="s">
        <v>306</v>
      </c>
      <c r="B353" s="16" t="s">
        <v>390</v>
      </c>
      <c r="C353" s="77" t="str">
        <f>VLOOKUP(B353,IF(A353="COMPOSICAO",S!$A:$D,I!$A:$D),2,FALSE)</f>
        <v>PERFIL DE ALUMINIO ANODIZADO FOSCO (DIVISORIA)</v>
      </c>
      <c r="D353" s="77"/>
      <c r="E353" s="77"/>
      <c r="F353" s="77"/>
      <c r="G353" s="16" t="str">
        <f>VLOOKUP(B353,IF(A353="COMPOSICAO",S!$A:$D,I!$A:$D),3,FALSE)</f>
        <v>KG</v>
      </c>
      <c r="H353" s="22">
        <f>2.5</f>
        <v>2.5</v>
      </c>
      <c r="I353" s="17">
        <f>IF(A353="COMPOSICAO",VLOOKUP("TOTAL - "&amp;B353,COMPOSICAO_AUX_1!$A:$J,10,FALSE),VLOOKUP(B353,I!$A:$D,4,FALSE))</f>
        <v>28.81</v>
      </c>
      <c r="J353" s="80">
        <f t="shared" si="13"/>
        <v>72.02</v>
      </c>
      <c r="K353" s="81"/>
      <c r="L353" s="3"/>
      <c r="M353" s="3"/>
      <c r="N353" s="3"/>
    </row>
    <row r="354" spans="1:14" ht="15" customHeight="1" x14ac:dyDescent="0.25">
      <c r="A354" s="16" t="s">
        <v>306</v>
      </c>
      <c r="B354" s="16" t="s">
        <v>391</v>
      </c>
      <c r="C354" s="77" t="str">
        <f>VLOOKUP(B354,IF(A354="COMPOSICAO",S!$A:$D,I!$A:$D),2,FALSE)</f>
        <v>VIDRO TEMPERADO  6MM INCOLOR SEM COLOCAÇÃO</v>
      </c>
      <c r="D354" s="77"/>
      <c r="E354" s="77"/>
      <c r="F354" s="77"/>
      <c r="G354" s="16" t="str">
        <f>VLOOKUP(B354,IF(A354="COMPOSICAO",S!$A:$D,I!$A:$D),3,FALSE)</f>
        <v>M2</v>
      </c>
      <c r="H354" s="22">
        <f>1</f>
        <v>1</v>
      </c>
      <c r="I354" s="17">
        <f>IF(A354="COMPOSICAO",VLOOKUP("TOTAL - "&amp;B354,COMPOSICAO_AUX_1!$A:$J,10,FALSE),VLOOKUP(B354,I!$A:$D,4,FALSE))</f>
        <v>235.46</v>
      </c>
      <c r="J354" s="80">
        <f t="shared" si="13"/>
        <v>235.46</v>
      </c>
      <c r="K354" s="81"/>
      <c r="L354" s="3"/>
      <c r="M354" s="3"/>
      <c r="N354" s="3"/>
    </row>
    <row r="355" spans="1:14" ht="15" customHeight="1" x14ac:dyDescent="0.25">
      <c r="A355" s="23" t="s">
        <v>303</v>
      </c>
      <c r="B355" s="24"/>
      <c r="C355" s="24"/>
      <c r="D355" s="24"/>
      <c r="E355" s="24"/>
      <c r="F355" s="24"/>
      <c r="G355" s="25"/>
      <c r="H355" s="26"/>
      <c r="I355" s="27"/>
      <c r="J355" s="80">
        <f>SUM(J347:K354)</f>
        <v>389.07000000000005</v>
      </c>
      <c r="K355" s="81"/>
    </row>
    <row r="356" spans="1:14" ht="15" customHeight="1" x14ac:dyDescent="0.25">
      <c r="A356" s="23" t="str">
        <f>"TAXA DE BDI ("&amp;BDI&amp;" %)"</f>
        <v>TAXA DE BDI (20,8 %)</v>
      </c>
      <c r="B356" s="24"/>
      <c r="C356" s="24"/>
      <c r="D356" s="24"/>
      <c r="E356" s="24"/>
      <c r="F356" s="24"/>
      <c r="G356" s="25"/>
      <c r="H356" s="26"/>
      <c r="I356" s="27"/>
      <c r="J356" s="80">
        <f>ROUND(J355*(BDI/100),2)</f>
        <v>80.930000000000007</v>
      </c>
      <c r="K356" s="81"/>
    </row>
    <row r="357" spans="1:14" ht="15" customHeight="1" x14ac:dyDescent="0.25">
      <c r="A357" s="23" t="s">
        <v>392</v>
      </c>
      <c r="B357" s="24"/>
      <c r="C357" s="24"/>
      <c r="D357" s="24"/>
      <c r="E357" s="24"/>
      <c r="F357" s="24"/>
      <c r="G357" s="25"/>
      <c r="H357" s="26"/>
      <c r="I357" s="27"/>
      <c r="J357" s="80">
        <f>SUM(J355:K356)</f>
        <v>470.00000000000006</v>
      </c>
      <c r="K357" s="81"/>
    </row>
    <row r="358" spans="1:14" ht="15" customHeight="1" x14ac:dyDescent="0.25">
      <c r="A358" s="3"/>
      <c r="B358" s="3"/>
      <c r="C358" s="3"/>
      <c r="D358" s="3"/>
      <c r="E358" s="3"/>
      <c r="F358" s="3"/>
      <c r="G358" s="3"/>
      <c r="H358" s="3"/>
      <c r="I358" s="3"/>
      <c r="J358" s="3"/>
      <c r="K358" s="3"/>
    </row>
    <row r="359" spans="1:14" ht="15" customHeight="1" x14ac:dyDescent="0.25">
      <c r="A359" s="10" t="s">
        <v>295</v>
      </c>
      <c r="B359" s="10" t="s">
        <v>31</v>
      </c>
      <c r="C359" s="82" t="s">
        <v>7</v>
      </c>
      <c r="D359" s="83"/>
      <c r="E359" s="83"/>
      <c r="F359" s="83"/>
      <c r="G359" s="6" t="s">
        <v>32</v>
      </c>
      <c r="H359" s="6" t="s">
        <v>296</v>
      </c>
      <c r="I359" s="6" t="s">
        <v>297</v>
      </c>
      <c r="J359" s="57" t="s">
        <v>9</v>
      </c>
      <c r="K359" s="58"/>
    </row>
    <row r="360" spans="1:14" ht="30" customHeight="1" x14ac:dyDescent="0.25">
      <c r="A360" s="6" t="s">
        <v>11</v>
      </c>
      <c r="B360" s="6" t="s">
        <v>393</v>
      </c>
      <c r="C360" s="91" t="str">
        <f>VLOOKUP(B360,S!$A:$D,2,FALSE)</f>
        <v>PORTA EM CHAPA LISA DE ALUMÍNIO, COR N/P/B, COMUM, DE ABRIR OU CORRER</v>
      </c>
      <c r="D360" s="91"/>
      <c r="E360" s="91"/>
      <c r="F360" s="92"/>
      <c r="G360" s="6" t="str">
        <f>VLOOKUP(B360,S!$A:$D,3,FALSE)</f>
        <v>M2</v>
      </c>
      <c r="H360" s="21"/>
      <c r="I360" s="21">
        <f>J365</f>
        <v>286.48</v>
      </c>
      <c r="J360" s="76"/>
      <c r="K360" s="72"/>
      <c r="L360" s="21">
        <f>VLOOKUP(B360,S!$A:$D,4,FALSE)</f>
        <v>281.81</v>
      </c>
      <c r="M360" s="6" t="str">
        <f>IF(ROUND((L360-I360),2)=0,"OK, confere com a tabela.",IF(ROUND((L360-I360),2)&lt;0,"ACIMA ("&amp;TEXT(ROUND(I360*100/L360,4),"0,0000")&amp;" %) da tabela.","ABAIXO ("&amp;TEXT(ROUND(I360*100/L360,4),"0,0000")&amp;" %) da tabela."))</f>
        <v>ACIMA (101,6571 %) da tabela.</v>
      </c>
    </row>
    <row r="361" spans="1:14" ht="30" customHeight="1" x14ac:dyDescent="0.25">
      <c r="A361" s="16" t="s">
        <v>306</v>
      </c>
      <c r="B361" s="16" t="s">
        <v>394</v>
      </c>
      <c r="C361" s="77" t="str">
        <f>VLOOKUP(B361,IF(A361="COMPOSICAO",S!$A:$D,I!$A:$D),2,FALSE)</f>
        <v>PORTA EM CHAPA LISA DE ALUMÍNIO, COR N/P/B, COMUM, DE ABRIR OU CORRER</v>
      </c>
      <c r="D361" s="77"/>
      <c r="E361" s="77"/>
      <c r="F361" s="77"/>
      <c r="G361" s="16" t="str">
        <f>VLOOKUP(B361,IF(A361="COMPOSICAO",S!$A:$D,I!$A:$D),3,FALSE)</f>
        <v>M2</v>
      </c>
      <c r="H361" s="22">
        <f>1</f>
        <v>1</v>
      </c>
      <c r="I361" s="17">
        <f>IF(A361="COMPOSICAO",VLOOKUP("TOTAL - "&amp;B361,COMPOSICAO_AUX_1!$A:$J,10,FALSE),VLOOKUP(B361,I!$A:$D,4,FALSE))</f>
        <v>250</v>
      </c>
      <c r="J361" s="80">
        <f t="shared" ref="J361:J364" si="14">TRUNC(H361*I361,2)</f>
        <v>250</v>
      </c>
      <c r="K361" s="81"/>
      <c r="L361" s="3"/>
      <c r="M361" s="3"/>
      <c r="N361" s="3"/>
    </row>
    <row r="362" spans="1:14" ht="15" customHeight="1" x14ac:dyDescent="0.25">
      <c r="A362" s="16" t="s">
        <v>302</v>
      </c>
      <c r="B362" s="20">
        <v>88309</v>
      </c>
      <c r="C362" s="77" t="str">
        <f>VLOOKUP(B362,IF(A362="COMPOSICAO",S!$A:$D,I!$A:$D),2,FALSE)</f>
        <v>PEDREIRO COM ENCARGOS COMPLEMENTARES</v>
      </c>
      <c r="D362" s="77"/>
      <c r="E362" s="77"/>
      <c r="F362" s="77"/>
      <c r="G362" s="16" t="str">
        <f>VLOOKUP(B362,IF(A362="COMPOSICAO",S!$A:$D,I!$A:$D),3,FALSE)</f>
        <v>H</v>
      </c>
      <c r="H362" s="22">
        <f>1</f>
        <v>1</v>
      </c>
      <c r="I362" s="17">
        <f>IF(A362="COMPOSICAO",VLOOKUP("TOTAL - "&amp;B362,COMPOSICAO_AUX_1!$A:$J,10,FALSE),VLOOKUP(B362,I!$A:$D,4,FALSE))</f>
        <v>19.849999999999994</v>
      </c>
      <c r="J362" s="80">
        <f t="shared" si="14"/>
        <v>19.850000000000001</v>
      </c>
      <c r="K362" s="81"/>
      <c r="L362" s="3"/>
      <c r="M362" s="3"/>
      <c r="N362" s="3"/>
    </row>
    <row r="363" spans="1:14" ht="15" customHeight="1" x14ac:dyDescent="0.25">
      <c r="A363" s="16" t="s">
        <v>302</v>
      </c>
      <c r="B363" s="20">
        <v>88316</v>
      </c>
      <c r="C363" s="77" t="str">
        <f>VLOOKUP(B363,IF(A363="COMPOSICAO",S!$A:$D,I!$A:$D),2,FALSE)</f>
        <v>SERVENTE COM ENCARGOS COMPLEMENTARES</v>
      </c>
      <c r="D363" s="77"/>
      <c r="E363" s="77"/>
      <c r="F363" s="77"/>
      <c r="G363" s="16" t="str">
        <f>VLOOKUP(B363,IF(A363="COMPOSICAO",S!$A:$D,I!$A:$D),3,FALSE)</f>
        <v>H</v>
      </c>
      <c r="H363" s="22">
        <f>1</f>
        <v>1</v>
      </c>
      <c r="I363" s="17">
        <f>IF(A363="COMPOSICAO",VLOOKUP("TOTAL - "&amp;B363,COMPOSICAO_AUX_1!$A:$J,10,FALSE),VLOOKUP(B363,I!$A:$D,4,FALSE))</f>
        <v>15.35</v>
      </c>
      <c r="J363" s="80">
        <f t="shared" si="14"/>
        <v>15.35</v>
      </c>
      <c r="K363" s="81"/>
      <c r="L363" s="3"/>
      <c r="M363" s="3"/>
      <c r="N363" s="3"/>
    </row>
    <row r="364" spans="1:14" ht="60" customHeight="1" x14ac:dyDescent="0.25">
      <c r="A364" s="16" t="s">
        <v>302</v>
      </c>
      <c r="B364" s="16" t="s">
        <v>395</v>
      </c>
      <c r="C364" s="77" t="str">
        <f>VLOOKUP(B364,IF(A364="COMPOSICAO",S!$A:$D,I!$A:$D),2,FALSE)</f>
        <v>ARGAMASSA CIMENTO E AREIA TRAÇO T-1 (1:3) - 1 SACO CIMENTO 50KG / 3 PADIOLAS AREIA DIM. 0.35 X 0.45 X 0.23 M - CONFECÇÃO MECÂNICA E TRANSPORTE</v>
      </c>
      <c r="D364" s="77"/>
      <c r="E364" s="77"/>
      <c r="F364" s="77"/>
      <c r="G364" s="16" t="str">
        <f>VLOOKUP(B364,IF(A364="COMPOSICAO",S!$A:$D,I!$A:$D),3,FALSE)</f>
        <v>M3</v>
      </c>
      <c r="H364" s="22">
        <f>0.003</f>
        <v>3.0000000000000001E-3</v>
      </c>
      <c r="I364" s="17">
        <f>IF(A364="COMPOSICAO",VLOOKUP("TOTAL - "&amp;B364,COMPOSICAO_AUX_1!$A:$J,10,FALSE),VLOOKUP(B364,I!$A:$D,4,FALSE))</f>
        <v>428.9</v>
      </c>
      <c r="J364" s="80">
        <f t="shared" si="14"/>
        <v>1.28</v>
      </c>
      <c r="K364" s="81"/>
      <c r="L364" s="3"/>
      <c r="M364" s="3"/>
      <c r="N364" s="3"/>
    </row>
    <row r="365" spans="1:14" ht="15" customHeight="1" x14ac:dyDescent="0.25">
      <c r="A365" s="23" t="s">
        <v>303</v>
      </c>
      <c r="B365" s="24"/>
      <c r="C365" s="24"/>
      <c r="D365" s="24"/>
      <c r="E365" s="24"/>
      <c r="F365" s="24"/>
      <c r="G365" s="25"/>
      <c r="H365" s="26"/>
      <c r="I365" s="27"/>
      <c r="J365" s="80">
        <f>SUM(J360:K364)</f>
        <v>286.48</v>
      </c>
      <c r="K365" s="81"/>
    </row>
    <row r="366" spans="1:14" ht="15" customHeight="1" x14ac:dyDescent="0.25">
      <c r="A366" s="23" t="str">
        <f>"TAXA DE BDI ("&amp;BDI&amp;" %)"</f>
        <v>TAXA DE BDI (20,8 %)</v>
      </c>
      <c r="B366" s="24"/>
      <c r="C366" s="24"/>
      <c r="D366" s="24"/>
      <c r="E366" s="24"/>
      <c r="F366" s="24"/>
      <c r="G366" s="25"/>
      <c r="H366" s="26"/>
      <c r="I366" s="27"/>
      <c r="J366" s="80">
        <f>ROUND(J365*(BDI/100),2)</f>
        <v>59.59</v>
      </c>
      <c r="K366" s="81"/>
    </row>
    <row r="367" spans="1:14" ht="15" customHeight="1" x14ac:dyDescent="0.25">
      <c r="A367" s="23" t="s">
        <v>396</v>
      </c>
      <c r="B367" s="24"/>
      <c r="C367" s="24"/>
      <c r="D367" s="24"/>
      <c r="E367" s="24"/>
      <c r="F367" s="24"/>
      <c r="G367" s="25"/>
      <c r="H367" s="26"/>
      <c r="I367" s="27"/>
      <c r="J367" s="80">
        <f>SUM(J365:K366)</f>
        <v>346.07000000000005</v>
      </c>
      <c r="K367" s="81"/>
    </row>
    <row r="368" spans="1:14" ht="15" customHeight="1" x14ac:dyDescent="0.25">
      <c r="A368" s="3"/>
      <c r="B368" s="3"/>
      <c r="C368" s="3"/>
      <c r="D368" s="3"/>
      <c r="E368" s="3"/>
      <c r="F368" s="3"/>
      <c r="G368" s="3"/>
      <c r="H368" s="3"/>
      <c r="I368" s="3"/>
      <c r="J368" s="3"/>
      <c r="K368" s="3"/>
    </row>
    <row r="369" spans="1:14" ht="15" customHeight="1" x14ac:dyDescent="0.25">
      <c r="A369" s="10" t="s">
        <v>295</v>
      </c>
      <c r="B369" s="10" t="s">
        <v>31</v>
      </c>
      <c r="C369" s="82" t="s">
        <v>7</v>
      </c>
      <c r="D369" s="83"/>
      <c r="E369" s="83"/>
      <c r="F369" s="83"/>
      <c r="G369" s="6" t="s">
        <v>32</v>
      </c>
      <c r="H369" s="6" t="s">
        <v>296</v>
      </c>
      <c r="I369" s="6" t="s">
        <v>297</v>
      </c>
      <c r="J369" s="57" t="s">
        <v>9</v>
      </c>
      <c r="K369" s="58"/>
    </row>
    <row r="370" spans="1:14" ht="15" customHeight="1" x14ac:dyDescent="0.25">
      <c r="A370" s="6" t="s">
        <v>11</v>
      </c>
      <c r="B370" s="6" t="s">
        <v>397</v>
      </c>
      <c r="C370" s="91" t="str">
        <f>VLOOKUP(B370,S!$A:$D,2,FALSE)</f>
        <v>BASCULANTE DE FERRO</v>
      </c>
      <c r="D370" s="91"/>
      <c r="E370" s="91"/>
      <c r="F370" s="92"/>
      <c r="G370" s="6" t="str">
        <f>VLOOKUP(B370,S!$A:$D,3,FALSE)</f>
        <v>M2</v>
      </c>
      <c r="H370" s="21"/>
      <c r="I370" s="21">
        <f>J376</f>
        <v>377.81000000000006</v>
      </c>
      <c r="J370" s="76"/>
      <c r="K370" s="72"/>
      <c r="L370" s="21">
        <f>VLOOKUP(B370,S!$A:$D,4,FALSE)</f>
        <v>372.99</v>
      </c>
      <c r="M370" s="6" t="str">
        <f>IF(ROUND((L370-I370),2)=0,"OK, confere com a tabela.",IF(ROUND((L370-I370),2)&lt;0,"ACIMA ("&amp;TEXT(ROUND(I370*100/L370,4),"0,0000")&amp;" %) da tabela.","ABAIXO ("&amp;TEXT(ROUND(I370*100/L370,4),"0,0000")&amp;" %) da tabela."))</f>
        <v>ACIMA (101,2923 %) da tabela.</v>
      </c>
    </row>
    <row r="371" spans="1:14" ht="30" customHeight="1" x14ac:dyDescent="0.25">
      <c r="A371" s="16" t="s">
        <v>306</v>
      </c>
      <c r="B371" s="16" t="s">
        <v>398</v>
      </c>
      <c r="C371" s="77" t="str">
        <f>VLOOKUP(B371,IF(A371="COMPOSICAO",S!$A:$D,I!$A:$D),2,FALSE)</f>
        <v>JANELA EM FERRO, TIPO BASCULANTE, TRADICIONAL FIXO E MÓVEL</v>
      </c>
      <c r="D371" s="77"/>
      <c r="E371" s="77"/>
      <c r="F371" s="77"/>
      <c r="G371" s="16" t="str">
        <f>VLOOKUP(B371,IF(A371="COMPOSICAO",S!$A:$D,I!$A:$D),3,FALSE)</f>
        <v>M2</v>
      </c>
      <c r="H371" s="22">
        <f>1</f>
        <v>1</v>
      </c>
      <c r="I371" s="17">
        <f>IF(A371="COMPOSICAO",VLOOKUP("TOTAL - "&amp;B371,COMPOSICAO_AUX_1!$A:$J,10,FALSE),VLOOKUP(B371,I!$A:$D,4,FALSE))</f>
        <v>337.1</v>
      </c>
      <c r="J371" s="80">
        <f t="shared" ref="J371:J375" si="15">TRUNC(H371*I371,2)</f>
        <v>337.1</v>
      </c>
      <c r="K371" s="81"/>
      <c r="L371" s="3"/>
      <c r="M371" s="3"/>
      <c r="N371" s="3"/>
    </row>
    <row r="372" spans="1:14" ht="30" customHeight="1" x14ac:dyDescent="0.25">
      <c r="A372" s="16" t="s">
        <v>306</v>
      </c>
      <c r="B372" s="20">
        <v>370</v>
      </c>
      <c r="C372" s="77" t="str">
        <f>VLOOKUP(B372,IF(A372="COMPOSICAO",S!$A:$D,I!$A:$D),2,FALSE)</f>
        <v>AREIA MEDIA - POSTO JAZIDA/FORNECEDOR (RETIRADO NA JAZIDA, SEM TRANSPORTE)</v>
      </c>
      <c r="D372" s="77"/>
      <c r="E372" s="77"/>
      <c r="F372" s="77"/>
      <c r="G372" s="16" t="str">
        <f>VLOOKUP(B372,IF(A372="COMPOSICAO",S!$A:$D,I!$A:$D),3,FALSE)</f>
        <v>M3</v>
      </c>
      <c r="H372" s="22">
        <f>0.009</f>
        <v>8.9999999999999993E-3</v>
      </c>
      <c r="I372" s="17">
        <f>IF(A372="COMPOSICAO",VLOOKUP("TOTAL - "&amp;B372,COMPOSICAO_AUX_1!$A:$J,10,FALSE),VLOOKUP(B372,I!$A:$D,4,FALSE))</f>
        <v>54</v>
      </c>
      <c r="J372" s="80">
        <f t="shared" si="15"/>
        <v>0.48</v>
      </c>
      <c r="K372" s="81"/>
      <c r="L372" s="3"/>
      <c r="M372" s="3"/>
      <c r="N372" s="3"/>
    </row>
    <row r="373" spans="1:14" ht="15" customHeight="1" x14ac:dyDescent="0.25">
      <c r="A373" s="16" t="s">
        <v>306</v>
      </c>
      <c r="B373" s="20">
        <v>1379</v>
      </c>
      <c r="C373" s="77" t="str">
        <f>VLOOKUP(B373,IF(A373="COMPOSICAO",S!$A:$D,I!$A:$D),2,FALSE)</f>
        <v>CIMENTO PORTLAND COMPOSTO CP II-32</v>
      </c>
      <c r="D373" s="77"/>
      <c r="E373" s="77"/>
      <c r="F373" s="77"/>
      <c r="G373" s="16" t="str">
        <f>VLOOKUP(B373,IF(A373="COMPOSICAO",S!$A:$D,I!$A:$D),3,FALSE)</f>
        <v>KG</v>
      </c>
      <c r="H373" s="22">
        <f>2.8</f>
        <v>2.8</v>
      </c>
      <c r="I373" s="17">
        <f>IF(A373="COMPOSICAO",VLOOKUP("TOTAL - "&amp;B373,COMPOSICAO_AUX_1!$A:$J,10,FALSE),VLOOKUP(B373,I!$A:$D,4,FALSE))</f>
        <v>0.7</v>
      </c>
      <c r="J373" s="80">
        <f t="shared" si="15"/>
        <v>1.96</v>
      </c>
      <c r="K373" s="81"/>
      <c r="L373" s="3"/>
      <c r="M373" s="3"/>
      <c r="N373" s="3"/>
    </row>
    <row r="374" spans="1:14" ht="15" customHeight="1" x14ac:dyDescent="0.25">
      <c r="A374" s="16" t="s">
        <v>302</v>
      </c>
      <c r="B374" s="20">
        <v>88309</v>
      </c>
      <c r="C374" s="77" t="str">
        <f>VLOOKUP(B374,IF(A374="COMPOSICAO",S!$A:$D,I!$A:$D),2,FALSE)</f>
        <v>PEDREIRO COM ENCARGOS COMPLEMENTARES</v>
      </c>
      <c r="D374" s="77"/>
      <c r="E374" s="77"/>
      <c r="F374" s="77"/>
      <c r="G374" s="16" t="str">
        <f>VLOOKUP(B374,IF(A374="COMPOSICAO",S!$A:$D,I!$A:$D),3,FALSE)</f>
        <v>H</v>
      </c>
      <c r="H374" s="22">
        <f>1</f>
        <v>1</v>
      </c>
      <c r="I374" s="17">
        <f>IF(A374="COMPOSICAO",VLOOKUP("TOTAL - "&amp;B374,COMPOSICAO_AUX_1!$A:$J,10,FALSE),VLOOKUP(B374,I!$A:$D,4,FALSE))</f>
        <v>19.849999999999994</v>
      </c>
      <c r="J374" s="80">
        <f t="shared" si="15"/>
        <v>19.850000000000001</v>
      </c>
      <c r="K374" s="81"/>
      <c r="L374" s="3"/>
      <c r="M374" s="3"/>
      <c r="N374" s="3"/>
    </row>
    <row r="375" spans="1:14" ht="15" customHeight="1" x14ac:dyDescent="0.25">
      <c r="A375" s="16" t="s">
        <v>302</v>
      </c>
      <c r="B375" s="20">
        <v>88316</v>
      </c>
      <c r="C375" s="77" t="str">
        <f>VLOOKUP(B375,IF(A375="COMPOSICAO",S!$A:$D,I!$A:$D),2,FALSE)</f>
        <v>SERVENTE COM ENCARGOS COMPLEMENTARES</v>
      </c>
      <c r="D375" s="77"/>
      <c r="E375" s="77"/>
      <c r="F375" s="77"/>
      <c r="G375" s="16" t="str">
        <f>VLOOKUP(B375,IF(A375="COMPOSICAO",S!$A:$D,I!$A:$D),3,FALSE)</f>
        <v>H</v>
      </c>
      <c r="H375" s="22">
        <f>1.2</f>
        <v>1.2</v>
      </c>
      <c r="I375" s="17">
        <f>IF(A375="COMPOSICAO",VLOOKUP("TOTAL - "&amp;B375,COMPOSICAO_AUX_1!$A:$J,10,FALSE),VLOOKUP(B375,I!$A:$D,4,FALSE))</f>
        <v>15.35</v>
      </c>
      <c r="J375" s="80">
        <f t="shared" si="15"/>
        <v>18.420000000000002</v>
      </c>
      <c r="K375" s="81"/>
      <c r="L375" s="3"/>
      <c r="M375" s="3"/>
      <c r="N375" s="3"/>
    </row>
    <row r="376" spans="1:14" ht="15" customHeight="1" x14ac:dyDescent="0.25">
      <c r="A376" s="23" t="s">
        <v>303</v>
      </c>
      <c r="B376" s="24"/>
      <c r="C376" s="24"/>
      <c r="D376" s="24"/>
      <c r="E376" s="24"/>
      <c r="F376" s="24"/>
      <c r="G376" s="25"/>
      <c r="H376" s="26"/>
      <c r="I376" s="27"/>
      <c r="J376" s="80">
        <f>SUM(J370:K375)</f>
        <v>377.81000000000006</v>
      </c>
      <c r="K376" s="81"/>
    </row>
    <row r="377" spans="1:14" ht="15" customHeight="1" x14ac:dyDescent="0.25">
      <c r="A377" s="23" t="str">
        <f>"TAXA DE BDI ("&amp;BDI&amp;" %)"</f>
        <v>TAXA DE BDI (20,8 %)</v>
      </c>
      <c r="B377" s="24"/>
      <c r="C377" s="24"/>
      <c r="D377" s="24"/>
      <c r="E377" s="24"/>
      <c r="F377" s="24"/>
      <c r="G377" s="25"/>
      <c r="H377" s="26"/>
      <c r="I377" s="27"/>
      <c r="J377" s="80">
        <f>ROUND(J376*(BDI/100),2)</f>
        <v>78.58</v>
      </c>
      <c r="K377" s="81"/>
    </row>
    <row r="378" spans="1:14" ht="15" customHeight="1" x14ac:dyDescent="0.25">
      <c r="A378" s="23" t="s">
        <v>399</v>
      </c>
      <c r="B378" s="24"/>
      <c r="C378" s="24"/>
      <c r="D378" s="24"/>
      <c r="E378" s="24"/>
      <c r="F378" s="24"/>
      <c r="G378" s="25"/>
      <c r="H378" s="26"/>
      <c r="I378" s="27"/>
      <c r="J378" s="80">
        <f>SUM(J376:K377)</f>
        <v>456.39000000000004</v>
      </c>
      <c r="K378" s="81"/>
    </row>
    <row r="379" spans="1:14" ht="15" customHeight="1" x14ac:dyDescent="0.25">
      <c r="A379" s="3"/>
      <c r="B379" s="3"/>
      <c r="C379" s="3"/>
      <c r="D379" s="3"/>
      <c r="E379" s="3"/>
      <c r="F379" s="3"/>
      <c r="G379" s="3"/>
      <c r="H379" s="3"/>
      <c r="I379" s="3"/>
      <c r="J379" s="3"/>
      <c r="K379" s="3"/>
    </row>
    <row r="380" spans="1:14" ht="15" customHeight="1" x14ac:dyDescent="0.25">
      <c r="A380" s="10" t="s">
        <v>295</v>
      </c>
      <c r="B380" s="10" t="s">
        <v>31</v>
      </c>
      <c r="C380" s="82" t="s">
        <v>7</v>
      </c>
      <c r="D380" s="83"/>
      <c r="E380" s="83"/>
      <c r="F380" s="83"/>
      <c r="G380" s="6" t="s">
        <v>32</v>
      </c>
      <c r="H380" s="6" t="s">
        <v>296</v>
      </c>
      <c r="I380" s="6" t="s">
        <v>297</v>
      </c>
      <c r="J380" s="57" t="s">
        <v>9</v>
      </c>
      <c r="K380" s="58"/>
    </row>
    <row r="381" spans="1:14" ht="15" customHeight="1" x14ac:dyDescent="0.25">
      <c r="A381" s="6" t="s">
        <v>11</v>
      </c>
      <c r="B381" s="6" t="s">
        <v>400</v>
      </c>
      <c r="C381" s="91" t="str">
        <f>VLOOKUP(B381,S!$A:$D,2,FALSE)</f>
        <v>GRADE PROTEÇÃO C/ BARRA REDONDA FERRO 5/8"</v>
      </c>
      <c r="D381" s="91"/>
      <c r="E381" s="91"/>
      <c r="F381" s="92"/>
      <c r="G381" s="6" t="str">
        <f>VLOOKUP(B381,S!$A:$D,3,FALSE)</f>
        <v>M2</v>
      </c>
      <c r="H381" s="21"/>
      <c r="I381" s="21">
        <f>J387</f>
        <v>154.77999999999997</v>
      </c>
      <c r="J381" s="76"/>
      <c r="K381" s="72"/>
      <c r="L381" s="21">
        <f>VLOOKUP(B381,S!$A:$D,4,FALSE)</f>
        <v>149.96</v>
      </c>
      <c r="M381" s="6" t="str">
        <f>IF(ROUND((L381-I381),2)=0,"OK, confere com a tabela.",IF(ROUND((L381-I381),2)&lt;0,"ACIMA ("&amp;TEXT(ROUND(I381*100/L381,4),"0,0000")&amp;" %) da tabela.","ABAIXO ("&amp;TEXT(ROUND(I381*100/L381,4),"0,0000")&amp;" %) da tabela."))</f>
        <v>ACIMA (103,2142 %) da tabela.</v>
      </c>
    </row>
    <row r="382" spans="1:14" ht="30" customHeight="1" x14ac:dyDescent="0.25">
      <c r="A382" s="16" t="s">
        <v>306</v>
      </c>
      <c r="B382" s="16" t="s">
        <v>401</v>
      </c>
      <c r="C382" s="77" t="str">
        <f>VLOOKUP(B382,IF(A382="COMPOSICAO",S!$A:$D,I!$A:$D),2,FALSE)</f>
        <v>GRADE DE PROTEÇÃO C/ BARRA REDONDA FERRO 5/8"</v>
      </c>
      <c r="D382" s="77"/>
      <c r="E382" s="77"/>
      <c r="F382" s="77"/>
      <c r="G382" s="16" t="str">
        <f>VLOOKUP(B382,IF(A382="COMPOSICAO",S!$A:$D,I!$A:$D),3,FALSE)</f>
        <v>M2</v>
      </c>
      <c r="H382" s="22">
        <f>1</f>
        <v>1</v>
      </c>
      <c r="I382" s="17">
        <f>IF(A382="COMPOSICAO",VLOOKUP("TOTAL - "&amp;B382,COMPOSICAO_AUX_1!$A:$J,10,FALSE),VLOOKUP(B382,I!$A:$D,4,FALSE))</f>
        <v>114.07</v>
      </c>
      <c r="J382" s="80">
        <f t="shared" ref="J382:J386" si="16">TRUNC(H382*I382,2)</f>
        <v>114.07</v>
      </c>
      <c r="K382" s="81"/>
      <c r="L382" s="3"/>
      <c r="M382" s="3"/>
      <c r="N382" s="3"/>
    </row>
    <row r="383" spans="1:14" ht="30" customHeight="1" x14ac:dyDescent="0.25">
      <c r="A383" s="16" t="s">
        <v>306</v>
      </c>
      <c r="B383" s="20">
        <v>370</v>
      </c>
      <c r="C383" s="77" t="str">
        <f>VLOOKUP(B383,IF(A383="COMPOSICAO",S!$A:$D,I!$A:$D),2,FALSE)</f>
        <v>AREIA MEDIA - POSTO JAZIDA/FORNECEDOR (RETIRADO NA JAZIDA, SEM TRANSPORTE)</v>
      </c>
      <c r="D383" s="77"/>
      <c r="E383" s="77"/>
      <c r="F383" s="77"/>
      <c r="G383" s="16" t="str">
        <f>VLOOKUP(B383,IF(A383="COMPOSICAO",S!$A:$D,I!$A:$D),3,FALSE)</f>
        <v>M3</v>
      </c>
      <c r="H383" s="22">
        <f>0.009</f>
        <v>8.9999999999999993E-3</v>
      </c>
      <c r="I383" s="17">
        <f>IF(A383="COMPOSICAO",VLOOKUP("TOTAL - "&amp;B383,COMPOSICAO_AUX_1!$A:$J,10,FALSE),VLOOKUP(B383,I!$A:$D,4,FALSE))</f>
        <v>54</v>
      </c>
      <c r="J383" s="80">
        <f t="shared" si="16"/>
        <v>0.48</v>
      </c>
      <c r="K383" s="81"/>
      <c r="L383" s="3"/>
      <c r="M383" s="3"/>
      <c r="N383" s="3"/>
    </row>
    <row r="384" spans="1:14" ht="15" customHeight="1" x14ac:dyDescent="0.25">
      <c r="A384" s="16" t="s">
        <v>306</v>
      </c>
      <c r="B384" s="20">
        <v>1379</v>
      </c>
      <c r="C384" s="77" t="str">
        <f>VLOOKUP(B384,IF(A384="COMPOSICAO",S!$A:$D,I!$A:$D),2,FALSE)</f>
        <v>CIMENTO PORTLAND COMPOSTO CP II-32</v>
      </c>
      <c r="D384" s="77"/>
      <c r="E384" s="77"/>
      <c r="F384" s="77"/>
      <c r="G384" s="16" t="str">
        <f>VLOOKUP(B384,IF(A384="COMPOSICAO",S!$A:$D,I!$A:$D),3,FALSE)</f>
        <v>KG</v>
      </c>
      <c r="H384" s="22">
        <f>2.8</f>
        <v>2.8</v>
      </c>
      <c r="I384" s="17">
        <f>IF(A384="COMPOSICAO",VLOOKUP("TOTAL - "&amp;B384,COMPOSICAO_AUX_1!$A:$J,10,FALSE),VLOOKUP(B384,I!$A:$D,4,FALSE))</f>
        <v>0.7</v>
      </c>
      <c r="J384" s="80">
        <f t="shared" si="16"/>
        <v>1.96</v>
      </c>
      <c r="K384" s="81"/>
      <c r="L384" s="3"/>
      <c r="M384" s="3"/>
      <c r="N384" s="3"/>
    </row>
    <row r="385" spans="1:14" ht="15" customHeight="1" x14ac:dyDescent="0.25">
      <c r="A385" s="16" t="s">
        <v>302</v>
      </c>
      <c r="B385" s="20">
        <v>88309</v>
      </c>
      <c r="C385" s="77" t="str">
        <f>VLOOKUP(B385,IF(A385="COMPOSICAO",S!$A:$D,I!$A:$D),2,FALSE)</f>
        <v>PEDREIRO COM ENCARGOS COMPLEMENTARES</v>
      </c>
      <c r="D385" s="77"/>
      <c r="E385" s="77"/>
      <c r="F385" s="77"/>
      <c r="G385" s="16" t="str">
        <f>VLOOKUP(B385,IF(A385="COMPOSICAO",S!$A:$D,I!$A:$D),3,FALSE)</f>
        <v>H</v>
      </c>
      <c r="H385" s="22">
        <f>1</f>
        <v>1</v>
      </c>
      <c r="I385" s="17">
        <f>IF(A385="COMPOSICAO",VLOOKUP("TOTAL - "&amp;B385,COMPOSICAO_AUX_1!$A:$J,10,FALSE),VLOOKUP(B385,I!$A:$D,4,FALSE))</f>
        <v>19.849999999999994</v>
      </c>
      <c r="J385" s="80">
        <f t="shared" si="16"/>
        <v>19.850000000000001</v>
      </c>
      <c r="K385" s="81"/>
      <c r="L385" s="3"/>
      <c r="M385" s="3"/>
      <c r="N385" s="3"/>
    </row>
    <row r="386" spans="1:14" ht="15" customHeight="1" x14ac:dyDescent="0.25">
      <c r="A386" s="16" t="s">
        <v>302</v>
      </c>
      <c r="B386" s="20">
        <v>88316</v>
      </c>
      <c r="C386" s="77" t="str">
        <f>VLOOKUP(B386,IF(A386="COMPOSICAO",S!$A:$D,I!$A:$D),2,FALSE)</f>
        <v>SERVENTE COM ENCARGOS COMPLEMENTARES</v>
      </c>
      <c r="D386" s="77"/>
      <c r="E386" s="77"/>
      <c r="F386" s="77"/>
      <c r="G386" s="16" t="str">
        <f>VLOOKUP(B386,IF(A386="COMPOSICAO",S!$A:$D,I!$A:$D),3,FALSE)</f>
        <v>H</v>
      </c>
      <c r="H386" s="22">
        <f>1.2</f>
        <v>1.2</v>
      </c>
      <c r="I386" s="17">
        <f>IF(A386="COMPOSICAO",VLOOKUP("TOTAL - "&amp;B386,COMPOSICAO_AUX_1!$A:$J,10,FALSE),VLOOKUP(B386,I!$A:$D,4,FALSE))</f>
        <v>15.35</v>
      </c>
      <c r="J386" s="80">
        <f t="shared" si="16"/>
        <v>18.420000000000002</v>
      </c>
      <c r="K386" s="81"/>
      <c r="L386" s="3"/>
      <c r="M386" s="3"/>
      <c r="N386" s="3"/>
    </row>
    <row r="387" spans="1:14" ht="15" customHeight="1" x14ac:dyDescent="0.25">
      <c r="A387" s="23" t="s">
        <v>303</v>
      </c>
      <c r="B387" s="24"/>
      <c r="C387" s="24"/>
      <c r="D387" s="24"/>
      <c r="E387" s="24"/>
      <c r="F387" s="24"/>
      <c r="G387" s="25"/>
      <c r="H387" s="26"/>
      <c r="I387" s="27"/>
      <c r="J387" s="80">
        <f>SUM(J381:K386)</f>
        <v>154.77999999999997</v>
      </c>
      <c r="K387" s="81"/>
    </row>
    <row r="388" spans="1:14" ht="15" customHeight="1" x14ac:dyDescent="0.25">
      <c r="A388" s="23" t="str">
        <f>"TAXA DE BDI ("&amp;BDI&amp;" %)"</f>
        <v>TAXA DE BDI (20,8 %)</v>
      </c>
      <c r="B388" s="24"/>
      <c r="C388" s="24"/>
      <c r="D388" s="24"/>
      <c r="E388" s="24"/>
      <c r="F388" s="24"/>
      <c r="G388" s="25"/>
      <c r="H388" s="26"/>
      <c r="I388" s="27"/>
      <c r="J388" s="80">
        <f>ROUND(J387*(BDI/100),2)</f>
        <v>32.19</v>
      </c>
      <c r="K388" s="81"/>
    </row>
    <row r="389" spans="1:14" ht="15" customHeight="1" x14ac:dyDescent="0.25">
      <c r="A389" s="23" t="s">
        <v>402</v>
      </c>
      <c r="B389" s="24"/>
      <c r="C389" s="24"/>
      <c r="D389" s="24"/>
      <c r="E389" s="24"/>
      <c r="F389" s="24"/>
      <c r="G389" s="25"/>
      <c r="H389" s="26"/>
      <c r="I389" s="27"/>
      <c r="J389" s="80">
        <f>SUM(J387:K388)</f>
        <v>186.96999999999997</v>
      </c>
      <c r="K389" s="81"/>
    </row>
    <row r="390" spans="1:14" ht="15" customHeight="1" x14ac:dyDescent="0.25">
      <c r="A390" s="3"/>
      <c r="B390" s="3"/>
      <c r="C390" s="3"/>
      <c r="D390" s="3"/>
      <c r="E390" s="3"/>
      <c r="F390" s="3"/>
      <c r="G390" s="3"/>
      <c r="H390" s="3"/>
      <c r="I390" s="3"/>
      <c r="J390" s="3"/>
      <c r="K390" s="3"/>
    </row>
    <row r="391" spans="1:14" ht="15" customHeight="1" x14ac:dyDescent="0.25">
      <c r="A391" s="10" t="s">
        <v>295</v>
      </c>
      <c r="B391" s="10" t="s">
        <v>31</v>
      </c>
      <c r="C391" s="82" t="s">
        <v>7</v>
      </c>
      <c r="D391" s="83"/>
      <c r="E391" s="83"/>
      <c r="F391" s="83"/>
      <c r="G391" s="6" t="s">
        <v>32</v>
      </c>
      <c r="H391" s="6" t="s">
        <v>296</v>
      </c>
      <c r="I391" s="6" t="s">
        <v>297</v>
      </c>
      <c r="J391" s="57" t="s">
        <v>9</v>
      </c>
      <c r="K391" s="58"/>
    </row>
    <row r="392" spans="1:14" ht="30" customHeight="1" x14ac:dyDescent="0.25">
      <c r="A392" s="6" t="s">
        <v>11</v>
      </c>
      <c r="B392" s="6" t="s">
        <v>403</v>
      </c>
      <c r="C392" s="91" t="str">
        <f>VLOOKUP(B392,S!$A:$D,2,FALSE)</f>
        <v>ESPELHO DE CRISTAL 4MM COM MOLDURA DE ALUMÍNIO</v>
      </c>
      <c r="D392" s="91"/>
      <c r="E392" s="91"/>
      <c r="F392" s="92"/>
      <c r="G392" s="6" t="str">
        <f>VLOOKUP(B392,S!$A:$D,3,FALSE)</f>
        <v>M2</v>
      </c>
      <c r="H392" s="21"/>
      <c r="I392" s="21">
        <f>J396</f>
        <v>481.09000000000003</v>
      </c>
      <c r="J392" s="76"/>
      <c r="K392" s="72"/>
      <c r="L392" s="21">
        <f>VLOOKUP(B392,S!$A:$D,4,FALSE)</f>
        <v>479.63</v>
      </c>
      <c r="M392" s="6" t="str">
        <f>IF(ROUND((L392-I392),2)=0,"OK, confere com a tabela.",IF(ROUND((L392-I392),2)&lt;0,"ACIMA ("&amp;TEXT(ROUND(I392*100/L392,4),"0,0000")&amp;" %) da tabela.","ABAIXO ("&amp;TEXT(ROUND(I392*100/L392,4),"0,0000")&amp;" %) da tabela."))</f>
        <v>ACIMA (100,3044 %) da tabela.</v>
      </c>
    </row>
    <row r="393" spans="1:14" ht="30" customHeight="1" x14ac:dyDescent="0.25">
      <c r="A393" s="16" t="s">
        <v>306</v>
      </c>
      <c r="B393" s="16" t="s">
        <v>404</v>
      </c>
      <c r="C393" s="77" t="str">
        <f>VLOOKUP(B393,IF(A393="COMPOSICAO",S!$A:$D,I!$A:$D),2,FALSE)</f>
        <v>ESPELHO DE CRISTAL 4MM COM MOLDURA DE ALUMÍNIO</v>
      </c>
      <c r="D393" s="77"/>
      <c r="E393" s="77"/>
      <c r="F393" s="77"/>
      <c r="G393" s="16" t="str">
        <f>VLOOKUP(B393,IF(A393="COMPOSICAO",S!$A:$D,I!$A:$D),3,FALSE)</f>
        <v>UN</v>
      </c>
      <c r="H393" s="22">
        <f>1</f>
        <v>1</v>
      </c>
      <c r="I393" s="17">
        <f>IF(A393="COMPOSICAO",VLOOKUP("TOTAL - "&amp;B393,COMPOSICAO_AUX_1!$A:$J,10,FALSE),VLOOKUP(B393,I!$A:$D,4,FALSE))</f>
        <v>470.54</v>
      </c>
      <c r="J393" s="80">
        <f>TRUNC(H393*I393,2)</f>
        <v>470.54</v>
      </c>
      <c r="K393" s="81"/>
      <c r="L393" s="3"/>
      <c r="M393" s="3"/>
      <c r="N393" s="3"/>
    </row>
    <row r="394" spans="1:14" ht="15" customHeight="1" x14ac:dyDescent="0.25">
      <c r="A394" s="16" t="s">
        <v>302</v>
      </c>
      <c r="B394" s="20">
        <v>88309</v>
      </c>
      <c r="C394" s="77" t="str">
        <f>VLOOKUP(B394,IF(A394="COMPOSICAO",S!$A:$D,I!$A:$D),2,FALSE)</f>
        <v>PEDREIRO COM ENCARGOS COMPLEMENTARES</v>
      </c>
      <c r="D394" s="77"/>
      <c r="E394" s="77"/>
      <c r="F394" s="77"/>
      <c r="G394" s="16" t="str">
        <f>VLOOKUP(B394,IF(A394="COMPOSICAO",S!$A:$D,I!$A:$D),3,FALSE)</f>
        <v>H</v>
      </c>
      <c r="H394" s="22">
        <f>0.3</f>
        <v>0.3</v>
      </c>
      <c r="I394" s="17">
        <f>IF(A394="COMPOSICAO",VLOOKUP("TOTAL - "&amp;B394,COMPOSICAO_AUX_1!$A:$J,10,FALSE),VLOOKUP(B394,I!$A:$D,4,FALSE))</f>
        <v>19.849999999999994</v>
      </c>
      <c r="J394" s="80">
        <f>TRUNC(H394*I394,2)</f>
        <v>5.95</v>
      </c>
      <c r="K394" s="81"/>
      <c r="L394" s="3"/>
      <c r="M394" s="3"/>
      <c r="N394" s="3"/>
    </row>
    <row r="395" spans="1:14" ht="15" customHeight="1" x14ac:dyDescent="0.25">
      <c r="A395" s="16" t="s">
        <v>302</v>
      </c>
      <c r="B395" s="20">
        <v>88316</v>
      </c>
      <c r="C395" s="77" t="str">
        <f>VLOOKUP(B395,IF(A395="COMPOSICAO",S!$A:$D,I!$A:$D),2,FALSE)</f>
        <v>SERVENTE COM ENCARGOS COMPLEMENTARES</v>
      </c>
      <c r="D395" s="77"/>
      <c r="E395" s="77"/>
      <c r="F395" s="77"/>
      <c r="G395" s="16" t="str">
        <f>VLOOKUP(B395,IF(A395="COMPOSICAO",S!$A:$D,I!$A:$D),3,FALSE)</f>
        <v>H</v>
      </c>
      <c r="H395" s="22">
        <f>0.3</f>
        <v>0.3</v>
      </c>
      <c r="I395" s="17">
        <f>IF(A395="COMPOSICAO",VLOOKUP("TOTAL - "&amp;B395,COMPOSICAO_AUX_1!$A:$J,10,FALSE),VLOOKUP(B395,I!$A:$D,4,FALSE))</f>
        <v>15.35</v>
      </c>
      <c r="J395" s="80">
        <f>TRUNC(H395*I395,2)</f>
        <v>4.5999999999999996</v>
      </c>
      <c r="K395" s="81"/>
      <c r="L395" s="3"/>
      <c r="M395" s="3"/>
      <c r="N395" s="3"/>
    </row>
    <row r="396" spans="1:14" ht="15" customHeight="1" x14ac:dyDescent="0.25">
      <c r="A396" s="23" t="s">
        <v>303</v>
      </c>
      <c r="B396" s="24"/>
      <c r="C396" s="24"/>
      <c r="D396" s="24"/>
      <c r="E396" s="24"/>
      <c r="F396" s="24"/>
      <c r="G396" s="25"/>
      <c r="H396" s="26"/>
      <c r="I396" s="27"/>
      <c r="J396" s="80">
        <f>SUM(J392:K395)</f>
        <v>481.09000000000003</v>
      </c>
      <c r="K396" s="81"/>
    </row>
    <row r="397" spans="1:14" ht="15" customHeight="1" x14ac:dyDescent="0.25">
      <c r="A397" s="23" t="str">
        <f>"TAXA DE BDI ("&amp;BDI&amp;" %)"</f>
        <v>TAXA DE BDI (20,8 %)</v>
      </c>
      <c r="B397" s="24"/>
      <c r="C397" s="24"/>
      <c r="D397" s="24"/>
      <c r="E397" s="24"/>
      <c r="F397" s="24"/>
      <c r="G397" s="25"/>
      <c r="H397" s="26"/>
      <c r="I397" s="27"/>
      <c r="J397" s="80">
        <f>ROUND(J396*(BDI/100),2)</f>
        <v>100.07</v>
      </c>
      <c r="K397" s="81"/>
    </row>
    <row r="398" spans="1:14" ht="15" customHeight="1" x14ac:dyDescent="0.25">
      <c r="A398" s="23" t="s">
        <v>405</v>
      </c>
      <c r="B398" s="24"/>
      <c r="C398" s="24"/>
      <c r="D398" s="24"/>
      <c r="E398" s="24"/>
      <c r="F398" s="24"/>
      <c r="G398" s="25"/>
      <c r="H398" s="26"/>
      <c r="I398" s="27"/>
      <c r="J398" s="80">
        <f>SUM(J396:K397)</f>
        <v>581.16000000000008</v>
      </c>
      <c r="K398" s="81"/>
    </row>
    <row r="399" spans="1:14" ht="15" customHeight="1" x14ac:dyDescent="0.25">
      <c r="A399" s="3"/>
      <c r="B399" s="3"/>
      <c r="C399" s="3"/>
      <c r="D399" s="3"/>
      <c r="E399" s="3"/>
      <c r="F399" s="3"/>
      <c r="G399" s="3"/>
      <c r="H399" s="3"/>
      <c r="I399" s="3"/>
      <c r="J399" s="3"/>
      <c r="K399" s="3"/>
    </row>
    <row r="400" spans="1:14" ht="15" customHeight="1" x14ac:dyDescent="0.25">
      <c r="A400" s="10" t="s">
        <v>295</v>
      </c>
      <c r="B400" s="10" t="s">
        <v>31</v>
      </c>
      <c r="C400" s="82" t="s">
        <v>7</v>
      </c>
      <c r="D400" s="83"/>
      <c r="E400" s="83"/>
      <c r="F400" s="83"/>
      <c r="G400" s="6" t="s">
        <v>32</v>
      </c>
      <c r="H400" s="6" t="s">
        <v>296</v>
      </c>
      <c r="I400" s="6" t="s">
        <v>297</v>
      </c>
      <c r="J400" s="57" t="s">
        <v>9</v>
      </c>
      <c r="K400" s="58"/>
    </row>
    <row r="401" spans="1:14" ht="30" customHeight="1" x14ac:dyDescent="0.25">
      <c r="A401" s="6" t="s">
        <v>406</v>
      </c>
      <c r="B401" s="28">
        <v>88415</v>
      </c>
      <c r="C401" s="91" t="str">
        <f>VLOOKUP(B401,S!$A:$D,2,FALSE)</f>
        <v>APLICAÇÃO MANUAL DE FUNDO SELADOR ACRÍLICO EM PAREDES EXTERNAS DE CASAS. AF_06/2014</v>
      </c>
      <c r="D401" s="91"/>
      <c r="E401" s="91"/>
      <c r="F401" s="92"/>
      <c r="G401" s="6" t="str">
        <f>VLOOKUP(B401,S!$A:$D,3,FALSE)</f>
        <v>M2</v>
      </c>
      <c r="H401" s="21"/>
      <c r="I401" s="21">
        <f>J405</f>
        <v>2.27</v>
      </c>
      <c r="J401" s="76"/>
      <c r="K401" s="72"/>
      <c r="L401" s="21">
        <f>VLOOKUP(B401,S!$A:$D,4,FALSE)</f>
        <v>2.27</v>
      </c>
      <c r="M401" s="6" t="str">
        <f>IF(ROUND((L401-I401),2)=0,"OK, confere com a tabela.",IF(ROUND((L401-I401),2)&lt;0,"ACIMA ("&amp;TEXT(ROUND(I401*100/L401,4),"0,0000")&amp;" %) da tabela.","ABAIXO ("&amp;TEXT(ROUND(I401*100/L401,4),"0,0000")&amp;" %) da tabela."))</f>
        <v>OK, confere com a tabela.</v>
      </c>
    </row>
    <row r="402" spans="1:14" ht="15" customHeight="1" x14ac:dyDescent="0.25">
      <c r="A402" s="16" t="s">
        <v>306</v>
      </c>
      <c r="B402" s="20">
        <v>6085</v>
      </c>
      <c r="C402" s="77" t="str">
        <f>VLOOKUP(B402,IF(A402="COMPOSICAO",S!$A:$D,I!$A:$D),2,FALSE)</f>
        <v>SELADOR ACRILICO PAREDES INTERNAS/EXTERNAS</v>
      </c>
      <c r="D402" s="77"/>
      <c r="E402" s="77"/>
      <c r="F402" s="77"/>
      <c r="G402" s="16" t="str">
        <f>VLOOKUP(B402,IF(A402="COMPOSICAO",S!$A:$D,I!$A:$D),3,FALSE)</f>
        <v>L</v>
      </c>
      <c r="H402" s="22">
        <f>0.16</f>
        <v>0.16</v>
      </c>
      <c r="I402" s="17">
        <f>IF(A402="COMPOSICAO",VLOOKUP("TOTAL - "&amp;B402,COMPOSICAO_AUX_1!$A:$J,10,FALSE),VLOOKUP(B402,I!$A:$D,4,FALSE))</f>
        <v>5.88</v>
      </c>
      <c r="J402" s="80">
        <f>TRUNC(H402*I402,2)</f>
        <v>0.94</v>
      </c>
      <c r="K402" s="81"/>
      <c r="L402" s="3"/>
      <c r="M402" s="3"/>
      <c r="N402" s="3"/>
    </row>
    <row r="403" spans="1:14" ht="15" customHeight="1" x14ac:dyDescent="0.25">
      <c r="A403" s="16" t="s">
        <v>302</v>
      </c>
      <c r="B403" s="20">
        <v>88310</v>
      </c>
      <c r="C403" s="77" t="str">
        <f>VLOOKUP(B403,IF(A403="COMPOSICAO",S!$A:$D,I!$A:$D),2,FALSE)</f>
        <v>PINTOR COM ENCARGOS COMPLEMENTARES</v>
      </c>
      <c r="D403" s="77"/>
      <c r="E403" s="77"/>
      <c r="F403" s="77"/>
      <c r="G403" s="16" t="str">
        <f>VLOOKUP(B403,IF(A403="COMPOSICAO",S!$A:$D,I!$A:$D),3,FALSE)</f>
        <v>H</v>
      </c>
      <c r="H403" s="22">
        <f>0.054</f>
        <v>5.3999999999999999E-2</v>
      </c>
      <c r="I403" s="17">
        <f>IF(A403="COMPOSICAO",VLOOKUP("TOTAL - "&amp;B403,COMPOSICAO_AUX_1!$A:$J,10,FALSE),VLOOKUP(B403,I!$A:$D,4,FALSE))</f>
        <v>20.849999999999994</v>
      </c>
      <c r="J403" s="80">
        <f>TRUNC(H403*I403,2)</f>
        <v>1.1200000000000001</v>
      </c>
      <c r="K403" s="81"/>
      <c r="L403" s="3"/>
      <c r="M403" s="3"/>
      <c r="N403" s="3"/>
    </row>
    <row r="404" spans="1:14" ht="15" customHeight="1" x14ac:dyDescent="0.25">
      <c r="A404" s="16" t="s">
        <v>302</v>
      </c>
      <c r="B404" s="20">
        <v>88316</v>
      </c>
      <c r="C404" s="77" t="str">
        <f>VLOOKUP(B404,IF(A404="COMPOSICAO",S!$A:$D,I!$A:$D),2,FALSE)</f>
        <v>SERVENTE COM ENCARGOS COMPLEMENTARES</v>
      </c>
      <c r="D404" s="77"/>
      <c r="E404" s="77"/>
      <c r="F404" s="77"/>
      <c r="G404" s="16" t="str">
        <f>VLOOKUP(B404,IF(A404="COMPOSICAO",S!$A:$D,I!$A:$D),3,FALSE)</f>
        <v>H</v>
      </c>
      <c r="H404" s="22">
        <f>0.014</f>
        <v>1.4E-2</v>
      </c>
      <c r="I404" s="17">
        <f>IF(A404="COMPOSICAO",VLOOKUP("TOTAL - "&amp;B404,COMPOSICAO_AUX_1!$A:$J,10,FALSE),VLOOKUP(B404,I!$A:$D,4,FALSE))</f>
        <v>15.35</v>
      </c>
      <c r="J404" s="80">
        <f>TRUNC(H404*I404,2)</f>
        <v>0.21</v>
      </c>
      <c r="K404" s="81"/>
      <c r="L404" s="3"/>
      <c r="M404" s="3"/>
      <c r="N404" s="3"/>
    </row>
    <row r="405" spans="1:14" ht="15" customHeight="1" x14ac:dyDescent="0.25">
      <c r="A405" s="23" t="s">
        <v>303</v>
      </c>
      <c r="B405" s="24"/>
      <c r="C405" s="24"/>
      <c r="D405" s="24"/>
      <c r="E405" s="24"/>
      <c r="F405" s="24"/>
      <c r="G405" s="25"/>
      <c r="H405" s="26"/>
      <c r="I405" s="27"/>
      <c r="J405" s="80">
        <f>SUM(J401:K404)</f>
        <v>2.27</v>
      </c>
      <c r="K405" s="81"/>
    </row>
    <row r="406" spans="1:14" ht="15" customHeight="1" x14ac:dyDescent="0.25">
      <c r="A406" s="23" t="str">
        <f>"TAXA DE BDI ("&amp;BDI&amp;" %)"</f>
        <v>TAXA DE BDI (20,8 %)</v>
      </c>
      <c r="B406" s="24"/>
      <c r="C406" s="24"/>
      <c r="D406" s="24"/>
      <c r="E406" s="24"/>
      <c r="F406" s="24"/>
      <c r="G406" s="25"/>
      <c r="H406" s="26"/>
      <c r="I406" s="27"/>
      <c r="J406" s="80">
        <f>ROUND(J405*(BDI/100),2)</f>
        <v>0.47</v>
      </c>
      <c r="K406" s="81"/>
    </row>
    <row r="407" spans="1:14" ht="15" customHeight="1" x14ac:dyDescent="0.25">
      <c r="A407" s="23" t="s">
        <v>407</v>
      </c>
      <c r="B407" s="24"/>
      <c r="C407" s="24"/>
      <c r="D407" s="24"/>
      <c r="E407" s="24"/>
      <c r="F407" s="24"/>
      <c r="G407" s="25"/>
      <c r="H407" s="26"/>
      <c r="I407" s="27"/>
      <c r="J407" s="80">
        <f>SUM(J405:K406)</f>
        <v>2.74</v>
      </c>
      <c r="K407" s="81"/>
    </row>
    <row r="408" spans="1:14" ht="15" customHeight="1" x14ac:dyDescent="0.25">
      <c r="A408" s="3"/>
      <c r="B408" s="3"/>
      <c r="C408" s="3"/>
      <c r="D408" s="3"/>
      <c r="E408" s="3"/>
      <c r="F408" s="3"/>
      <c r="G408" s="3"/>
      <c r="H408" s="3"/>
      <c r="I408" s="3"/>
      <c r="J408" s="3"/>
      <c r="K408" s="3"/>
    </row>
    <row r="409" spans="1:14" ht="15" customHeight="1" x14ac:dyDescent="0.25">
      <c r="A409" s="10" t="s">
        <v>295</v>
      </c>
      <c r="B409" s="10" t="s">
        <v>31</v>
      </c>
      <c r="C409" s="82" t="s">
        <v>7</v>
      </c>
      <c r="D409" s="83"/>
      <c r="E409" s="83"/>
      <c r="F409" s="83"/>
      <c r="G409" s="6" t="s">
        <v>32</v>
      </c>
      <c r="H409" s="6" t="s">
        <v>296</v>
      </c>
      <c r="I409" s="6" t="s">
        <v>297</v>
      </c>
      <c r="J409" s="57" t="s">
        <v>9</v>
      </c>
      <c r="K409" s="58"/>
    </row>
    <row r="410" spans="1:14" ht="45" customHeight="1" x14ac:dyDescent="0.25">
      <c r="A410" s="6" t="s">
        <v>406</v>
      </c>
      <c r="B410" s="28">
        <v>88489</v>
      </c>
      <c r="C410" s="91" t="str">
        <f>VLOOKUP(B410,S!$A:$D,2,FALSE)</f>
        <v>APLICAÇÃO MANUAL DE PINTURA COM TINTA LÁTEX ACRÍLICA EM PAREDES, DUAS DEMÃOS. AF_06/2014</v>
      </c>
      <c r="D410" s="91"/>
      <c r="E410" s="91"/>
      <c r="F410" s="92"/>
      <c r="G410" s="6" t="str">
        <f>VLOOKUP(B410,S!$A:$D,3,FALSE)</f>
        <v>M2</v>
      </c>
      <c r="H410" s="21"/>
      <c r="I410" s="21">
        <f>J414</f>
        <v>10.850000000000001</v>
      </c>
      <c r="J410" s="76"/>
      <c r="K410" s="72"/>
      <c r="L410" s="21">
        <f>VLOOKUP(B410,S!$A:$D,4,FALSE)</f>
        <v>10.85</v>
      </c>
      <c r="M410" s="6" t="str">
        <f>IF(ROUND((L410-I410),2)=0,"OK, confere com a tabela.",IF(ROUND((L410-I410),2)&lt;0,"ACIMA ("&amp;TEXT(ROUND(I410*100/L410,4),"0,0000")&amp;" %) da tabela.","ABAIXO ("&amp;TEXT(ROUND(I410*100/L410,4),"0,0000")&amp;" %) da tabela."))</f>
        <v>OK, confere com a tabela.</v>
      </c>
    </row>
    <row r="411" spans="1:14" ht="15" customHeight="1" x14ac:dyDescent="0.25">
      <c r="A411" s="16" t="s">
        <v>306</v>
      </c>
      <c r="B411" s="20">
        <v>7356</v>
      </c>
      <c r="C411" s="77" t="str">
        <f>VLOOKUP(B411,IF(A411="COMPOSICAO",S!$A:$D,I!$A:$D),2,FALSE)</f>
        <v>TINTA ACRILICA PREMIUM, COR BRANCO FOSCO</v>
      </c>
      <c r="D411" s="77"/>
      <c r="E411" s="77"/>
      <c r="F411" s="77"/>
      <c r="G411" s="16" t="str">
        <f>VLOOKUP(B411,IF(A411="COMPOSICAO",S!$A:$D,I!$A:$D),3,FALSE)</f>
        <v>L</v>
      </c>
      <c r="H411" s="22">
        <f>0.33</f>
        <v>0.33</v>
      </c>
      <c r="I411" s="17">
        <f>IF(A411="COMPOSICAO",VLOOKUP("TOTAL - "&amp;B411,COMPOSICAO_AUX_1!$A:$J,10,FALSE),VLOOKUP(B411,I!$A:$D,4,FALSE))</f>
        <v>17.93</v>
      </c>
      <c r="J411" s="80">
        <f>TRUNC(H411*I411,2)</f>
        <v>5.91</v>
      </c>
      <c r="K411" s="81"/>
      <c r="L411" s="3"/>
      <c r="M411" s="3"/>
      <c r="N411" s="3"/>
    </row>
    <row r="412" spans="1:14" ht="15" customHeight="1" x14ac:dyDescent="0.25">
      <c r="A412" s="16" t="s">
        <v>302</v>
      </c>
      <c r="B412" s="20">
        <v>88310</v>
      </c>
      <c r="C412" s="77" t="str">
        <f>VLOOKUP(B412,IF(A412="COMPOSICAO",S!$A:$D,I!$A:$D),2,FALSE)</f>
        <v>PINTOR COM ENCARGOS COMPLEMENTARES</v>
      </c>
      <c r="D412" s="77"/>
      <c r="E412" s="77"/>
      <c r="F412" s="77"/>
      <c r="G412" s="16" t="str">
        <f>VLOOKUP(B412,IF(A412="COMPOSICAO",S!$A:$D,I!$A:$D),3,FALSE)</f>
        <v>H</v>
      </c>
      <c r="H412" s="22">
        <f>0.187</f>
        <v>0.187</v>
      </c>
      <c r="I412" s="17">
        <f>IF(A412="COMPOSICAO",VLOOKUP("TOTAL - "&amp;B412,COMPOSICAO_AUX_1!$A:$J,10,FALSE),VLOOKUP(B412,I!$A:$D,4,FALSE))</f>
        <v>20.849999999999994</v>
      </c>
      <c r="J412" s="80">
        <f>TRUNC(H412*I412,2)</f>
        <v>3.89</v>
      </c>
      <c r="K412" s="81"/>
      <c r="L412" s="3"/>
      <c r="M412" s="3"/>
      <c r="N412" s="3"/>
    </row>
    <row r="413" spans="1:14" ht="15" customHeight="1" x14ac:dyDescent="0.25">
      <c r="A413" s="16" t="s">
        <v>302</v>
      </c>
      <c r="B413" s="20">
        <v>88316</v>
      </c>
      <c r="C413" s="77" t="str">
        <f>VLOOKUP(B413,IF(A413="COMPOSICAO",S!$A:$D,I!$A:$D),2,FALSE)</f>
        <v>SERVENTE COM ENCARGOS COMPLEMENTARES</v>
      </c>
      <c r="D413" s="77"/>
      <c r="E413" s="77"/>
      <c r="F413" s="77"/>
      <c r="G413" s="16" t="str">
        <f>VLOOKUP(B413,IF(A413="COMPOSICAO",S!$A:$D,I!$A:$D),3,FALSE)</f>
        <v>H</v>
      </c>
      <c r="H413" s="22">
        <f>0.069</f>
        <v>6.9000000000000006E-2</v>
      </c>
      <c r="I413" s="17">
        <f>IF(A413="COMPOSICAO",VLOOKUP("TOTAL - "&amp;B413,COMPOSICAO_AUX_1!$A:$J,10,FALSE),VLOOKUP(B413,I!$A:$D,4,FALSE))</f>
        <v>15.35</v>
      </c>
      <c r="J413" s="80">
        <f>TRUNC(H413*I413,2)</f>
        <v>1.05</v>
      </c>
      <c r="K413" s="81"/>
      <c r="L413" s="3"/>
      <c r="M413" s="3"/>
      <c r="N413" s="3"/>
    </row>
    <row r="414" spans="1:14" ht="15" customHeight="1" x14ac:dyDescent="0.25">
      <c r="A414" s="23" t="s">
        <v>303</v>
      </c>
      <c r="B414" s="24"/>
      <c r="C414" s="24"/>
      <c r="D414" s="24"/>
      <c r="E414" s="24"/>
      <c r="F414" s="24"/>
      <c r="G414" s="25"/>
      <c r="H414" s="26"/>
      <c r="I414" s="27"/>
      <c r="J414" s="80">
        <f>SUM(J410:K413)</f>
        <v>10.850000000000001</v>
      </c>
      <c r="K414" s="81"/>
    </row>
    <row r="415" spans="1:14" ht="15" customHeight="1" x14ac:dyDescent="0.25">
      <c r="A415" s="23" t="str">
        <f>"TAXA DE BDI ("&amp;BDI&amp;" %)"</f>
        <v>TAXA DE BDI (20,8 %)</v>
      </c>
      <c r="B415" s="24"/>
      <c r="C415" s="24"/>
      <c r="D415" s="24"/>
      <c r="E415" s="24"/>
      <c r="F415" s="24"/>
      <c r="G415" s="25"/>
      <c r="H415" s="26"/>
      <c r="I415" s="27"/>
      <c r="J415" s="80">
        <f>ROUND(J414*(BDI/100),2)</f>
        <v>2.2599999999999998</v>
      </c>
      <c r="K415" s="81"/>
    </row>
    <row r="416" spans="1:14" ht="15" customHeight="1" x14ac:dyDescent="0.25">
      <c r="A416" s="23" t="s">
        <v>408</v>
      </c>
      <c r="B416" s="24"/>
      <c r="C416" s="24"/>
      <c r="D416" s="24"/>
      <c r="E416" s="24"/>
      <c r="F416" s="24"/>
      <c r="G416" s="25"/>
      <c r="H416" s="26"/>
      <c r="I416" s="27"/>
      <c r="J416" s="80">
        <f>SUM(J414:K415)</f>
        <v>13.110000000000001</v>
      </c>
      <c r="K416" s="81"/>
    </row>
    <row r="417" spans="1:14" ht="15" customHeight="1" x14ac:dyDescent="0.25">
      <c r="A417" s="3"/>
      <c r="B417" s="3"/>
      <c r="C417" s="3"/>
      <c r="D417" s="3"/>
      <c r="E417" s="3"/>
      <c r="F417" s="3"/>
      <c r="G417" s="3"/>
      <c r="H417" s="3"/>
      <c r="I417" s="3"/>
      <c r="J417" s="3"/>
      <c r="K417" s="3"/>
    </row>
    <row r="418" spans="1:14" ht="15" customHeight="1" x14ac:dyDescent="0.25">
      <c r="A418" s="10" t="s">
        <v>295</v>
      </c>
      <c r="B418" s="10" t="s">
        <v>31</v>
      </c>
      <c r="C418" s="82" t="s">
        <v>7</v>
      </c>
      <c r="D418" s="83"/>
      <c r="E418" s="83"/>
      <c r="F418" s="83"/>
      <c r="G418" s="6" t="s">
        <v>32</v>
      </c>
      <c r="H418" s="6" t="s">
        <v>296</v>
      </c>
      <c r="I418" s="6" t="s">
        <v>297</v>
      </c>
      <c r="J418" s="57" t="s">
        <v>9</v>
      </c>
      <c r="K418" s="58"/>
    </row>
    <row r="419" spans="1:14" ht="45" customHeight="1" x14ac:dyDescent="0.25">
      <c r="A419" s="6" t="s">
        <v>11</v>
      </c>
      <c r="B419" s="6" t="s">
        <v>409</v>
      </c>
      <c r="C419" s="91" t="str">
        <f>VLOOKUP(B419,S!$A:$D,2,FALSE)</f>
        <v>PINTURA DE ACABAMENTO COM APLICAÇÃO DE 02 DEMÃOS DE ESMALTE  SINTÉTICO SOBRE SUPERFÍCIES METÁLICAS - R1</v>
      </c>
      <c r="D419" s="91"/>
      <c r="E419" s="91"/>
      <c r="F419" s="92"/>
      <c r="G419" s="6" t="str">
        <f>VLOOKUP(B419,S!$A:$D,3,FALSE)</f>
        <v>M2</v>
      </c>
      <c r="H419" s="21"/>
      <c r="I419" s="21">
        <f>J424</f>
        <v>16.59</v>
      </c>
      <c r="J419" s="76"/>
      <c r="K419" s="72"/>
      <c r="L419" s="21">
        <f>VLOOKUP(B419,S!$A:$D,4,FALSE)</f>
        <v>14.4</v>
      </c>
      <c r="M419" s="6" t="str">
        <f>IF(ROUND((L419-I419),2)=0,"OK, confere com a tabela.",IF(ROUND((L419-I419),2)&lt;0,"ACIMA ("&amp;TEXT(ROUND(I419*100/L419,4),"0,0000")&amp;" %) da tabela.","ABAIXO ("&amp;TEXT(ROUND(I419*100/L419,4),"0,0000")&amp;" %) da tabela."))</f>
        <v>ACIMA (115,2083 %) da tabela.</v>
      </c>
    </row>
    <row r="420" spans="1:14" ht="15" customHeight="1" x14ac:dyDescent="0.25">
      <c r="A420" s="16" t="s">
        <v>306</v>
      </c>
      <c r="B420" s="16" t="s">
        <v>410</v>
      </c>
      <c r="C420" s="77" t="str">
        <f>VLOOKUP(B420,IF(A420="COMPOSICAO",S!$A:$D,I!$A:$D),2,FALSE)</f>
        <v>TINTA ESMALTE SINTÉTICO (CORALIT OU SIMILAR)</v>
      </c>
      <c r="D420" s="77"/>
      <c r="E420" s="77"/>
      <c r="F420" s="77"/>
      <c r="G420" s="16" t="str">
        <f>VLOOKUP(B420,IF(A420="COMPOSICAO",S!$A:$D,I!$A:$D),3,FALSE)</f>
        <v>L</v>
      </c>
      <c r="H420" s="22">
        <f>0.18</f>
        <v>0.18</v>
      </c>
      <c r="I420" s="17">
        <f>IF(A420="COMPOSICAO",VLOOKUP("TOTAL - "&amp;B420,COMPOSICAO_AUX_1!$A:$J,10,FALSE),VLOOKUP(B420,I!$A:$D,4,FALSE))</f>
        <v>24.24</v>
      </c>
      <c r="J420" s="80">
        <f t="shared" ref="J420:J423" si="17">TRUNC(H420*I420,2)</f>
        <v>4.3600000000000003</v>
      </c>
      <c r="K420" s="81"/>
      <c r="L420" s="3"/>
      <c r="M420" s="3"/>
      <c r="N420" s="3"/>
    </row>
    <row r="421" spans="1:14" ht="15" customHeight="1" x14ac:dyDescent="0.25">
      <c r="A421" s="16" t="s">
        <v>306</v>
      </c>
      <c r="B421" s="20">
        <v>3768</v>
      </c>
      <c r="C421" s="77" t="str">
        <f>VLOOKUP(B421,IF(A421="COMPOSICAO",S!$A:$D,I!$A:$D),2,FALSE)</f>
        <v>LIXA EM FOLHA PARA FERRO, NUMERO 150</v>
      </c>
      <c r="D421" s="77"/>
      <c r="E421" s="77"/>
      <c r="F421" s="77"/>
      <c r="G421" s="16" t="str">
        <f>VLOOKUP(B421,IF(A421="COMPOSICAO",S!$A:$D,I!$A:$D),3,FALSE)</f>
        <v>UN</v>
      </c>
      <c r="H421" s="22">
        <f>0.3</f>
        <v>0.3</v>
      </c>
      <c r="I421" s="17">
        <f>IF(A421="COMPOSICAO",VLOOKUP("TOTAL - "&amp;B421,COMPOSICAO_AUX_1!$A:$J,10,FALSE),VLOOKUP(B421,I!$A:$D,4,FALSE))</f>
        <v>2.75</v>
      </c>
      <c r="J421" s="80">
        <f t="shared" si="17"/>
        <v>0.82</v>
      </c>
      <c r="K421" s="81"/>
      <c r="L421" s="3"/>
      <c r="M421" s="3"/>
      <c r="N421" s="3"/>
    </row>
    <row r="422" spans="1:14" ht="15" customHeight="1" x14ac:dyDescent="0.25">
      <c r="A422" s="16" t="s">
        <v>302</v>
      </c>
      <c r="B422" s="20">
        <v>88310</v>
      </c>
      <c r="C422" s="77" t="str">
        <f>VLOOKUP(B422,IF(A422="COMPOSICAO",S!$A:$D,I!$A:$D),2,FALSE)</f>
        <v>PINTOR COM ENCARGOS COMPLEMENTARES</v>
      </c>
      <c r="D422" s="77"/>
      <c r="E422" s="77"/>
      <c r="F422" s="77"/>
      <c r="G422" s="16" t="str">
        <f>VLOOKUP(B422,IF(A422="COMPOSICAO",S!$A:$D,I!$A:$D),3,FALSE)</f>
        <v>H</v>
      </c>
      <c r="H422" s="22">
        <f>0.4</f>
        <v>0.4</v>
      </c>
      <c r="I422" s="17">
        <f>IF(A422="COMPOSICAO",VLOOKUP("TOTAL - "&amp;B422,COMPOSICAO_AUX_1!$A:$J,10,FALSE),VLOOKUP(B422,I!$A:$D,4,FALSE))</f>
        <v>20.849999999999994</v>
      </c>
      <c r="J422" s="80">
        <f t="shared" si="17"/>
        <v>8.34</v>
      </c>
      <c r="K422" s="81"/>
      <c r="L422" s="3"/>
      <c r="M422" s="3"/>
      <c r="N422" s="3"/>
    </row>
    <row r="423" spans="1:14" ht="15" customHeight="1" x14ac:dyDescent="0.25">
      <c r="A423" s="16" t="s">
        <v>302</v>
      </c>
      <c r="B423" s="20">
        <v>88316</v>
      </c>
      <c r="C423" s="77" t="str">
        <f>VLOOKUP(B423,IF(A423="COMPOSICAO",S!$A:$D,I!$A:$D),2,FALSE)</f>
        <v>SERVENTE COM ENCARGOS COMPLEMENTARES</v>
      </c>
      <c r="D423" s="77"/>
      <c r="E423" s="77"/>
      <c r="F423" s="77"/>
      <c r="G423" s="16" t="str">
        <f>VLOOKUP(B423,IF(A423="COMPOSICAO",S!$A:$D,I!$A:$D),3,FALSE)</f>
        <v>H</v>
      </c>
      <c r="H423" s="22">
        <f>0.2</f>
        <v>0.2</v>
      </c>
      <c r="I423" s="17">
        <f>IF(A423="COMPOSICAO",VLOOKUP("TOTAL - "&amp;B423,COMPOSICAO_AUX_1!$A:$J,10,FALSE),VLOOKUP(B423,I!$A:$D,4,FALSE))</f>
        <v>15.35</v>
      </c>
      <c r="J423" s="80">
        <f t="shared" si="17"/>
        <v>3.07</v>
      </c>
      <c r="K423" s="81"/>
      <c r="L423" s="3"/>
      <c r="M423" s="3"/>
      <c r="N423" s="3"/>
    </row>
    <row r="424" spans="1:14" ht="15" customHeight="1" x14ac:dyDescent="0.25">
      <c r="A424" s="23" t="s">
        <v>303</v>
      </c>
      <c r="B424" s="24"/>
      <c r="C424" s="24"/>
      <c r="D424" s="24"/>
      <c r="E424" s="24"/>
      <c r="F424" s="24"/>
      <c r="G424" s="25"/>
      <c r="H424" s="26"/>
      <c r="I424" s="27"/>
      <c r="J424" s="80">
        <f>SUM(J419:K423)</f>
        <v>16.59</v>
      </c>
      <c r="K424" s="81"/>
    </row>
    <row r="425" spans="1:14" ht="15" customHeight="1" x14ac:dyDescent="0.25">
      <c r="A425" s="23" t="str">
        <f>"TAXA DE BDI ("&amp;BDI&amp;" %)"</f>
        <v>TAXA DE BDI (20,8 %)</v>
      </c>
      <c r="B425" s="24"/>
      <c r="C425" s="24"/>
      <c r="D425" s="24"/>
      <c r="E425" s="24"/>
      <c r="F425" s="24"/>
      <c r="G425" s="25"/>
      <c r="H425" s="26"/>
      <c r="I425" s="27"/>
      <c r="J425" s="80">
        <f>ROUND(J424*(BDI/100),2)</f>
        <v>3.45</v>
      </c>
      <c r="K425" s="81"/>
    </row>
    <row r="426" spans="1:14" ht="15" customHeight="1" x14ac:dyDescent="0.25">
      <c r="A426" s="23" t="s">
        <v>412</v>
      </c>
      <c r="B426" s="24"/>
      <c r="C426" s="24"/>
      <c r="D426" s="24"/>
      <c r="E426" s="24"/>
      <c r="F426" s="24"/>
      <c r="G426" s="25"/>
      <c r="H426" s="26"/>
      <c r="I426" s="27"/>
      <c r="J426" s="80">
        <f>SUM(J424:K425)</f>
        <v>20.04</v>
      </c>
      <c r="K426" s="81"/>
    </row>
    <row r="427" spans="1:14" ht="15" customHeight="1" x14ac:dyDescent="0.25">
      <c r="A427" s="3"/>
      <c r="B427" s="3"/>
      <c r="C427" s="3"/>
      <c r="D427" s="3"/>
      <c r="E427" s="3"/>
      <c r="F427" s="3"/>
      <c r="G427" s="3"/>
      <c r="H427" s="3"/>
      <c r="I427" s="3"/>
      <c r="J427" s="3"/>
      <c r="K427" s="3"/>
    </row>
    <row r="428" spans="1:14" ht="15" customHeight="1" x14ac:dyDescent="0.25">
      <c r="A428" s="10" t="s">
        <v>295</v>
      </c>
      <c r="B428" s="10" t="s">
        <v>31</v>
      </c>
      <c r="C428" s="82" t="s">
        <v>7</v>
      </c>
      <c r="D428" s="83"/>
      <c r="E428" s="83"/>
      <c r="F428" s="83"/>
      <c r="G428" s="6" t="s">
        <v>32</v>
      </c>
      <c r="H428" s="6" t="s">
        <v>296</v>
      </c>
      <c r="I428" s="6" t="s">
        <v>297</v>
      </c>
      <c r="J428" s="57" t="s">
        <v>9</v>
      </c>
      <c r="K428" s="58"/>
    </row>
    <row r="429" spans="1:14" ht="60" customHeight="1" x14ac:dyDescent="0.25">
      <c r="A429" s="6" t="s">
        <v>413</v>
      </c>
      <c r="B429" s="28">
        <v>89957</v>
      </c>
      <c r="C429" s="91" t="str">
        <f>VLOOKUP(B429,S!$A:$D,2,FALSE)</f>
        <v>PONTO DE CONSUMO TERMINAL DE ÁGUA FRIA (SUBRAMAL) COM TUBULAÇÃO DE PVC, DN 25 MM, INSTALADO EM RAMAL DE ÁGUA, INCLUSOS RASGO E CHUMBAMENTO EM ALVENARIA. AF_12/2014</v>
      </c>
      <c r="D429" s="91"/>
      <c r="E429" s="91"/>
      <c r="F429" s="92"/>
      <c r="G429" s="6" t="str">
        <f>VLOOKUP(B429,S!$A:$D,3,FALSE)</f>
        <v>UN</v>
      </c>
      <c r="H429" s="21"/>
      <c r="I429" s="21">
        <f>J436</f>
        <v>110.11999999999999</v>
      </c>
      <c r="J429" s="76"/>
      <c r="K429" s="72"/>
      <c r="L429" s="21">
        <f>VLOOKUP(B429,S!$A:$D,4,FALSE)</f>
        <v>110.12</v>
      </c>
      <c r="M429" s="6" t="str">
        <f>IF(ROUND((L429-I429),2)=0,"OK, confere com a tabela.",IF(ROUND((L429-I429),2)&lt;0,"ACIMA ("&amp;TEXT(ROUND(I429*100/L429,4),"0,0000")&amp;" %) da tabela.","ABAIXO ("&amp;TEXT(ROUND(I429*100/L429,4),"0,0000")&amp;" %) da tabela."))</f>
        <v>OK, confere com a tabela.</v>
      </c>
    </row>
    <row r="430" spans="1:14" ht="45" customHeight="1" x14ac:dyDescent="0.25">
      <c r="A430" s="16" t="s">
        <v>302</v>
      </c>
      <c r="B430" s="20">
        <v>89356</v>
      </c>
      <c r="C430" s="77" t="str">
        <f>VLOOKUP(B430,IF(A430="COMPOSICAO",S!$A:$D,I!$A:$D),2,FALSE)</f>
        <v>TUBO, PVC, SOLDÁVEL, DN 25MM, INSTALADO EM RAMAL OU SUB-RAMAL DE ÁGUA - FORNECIMENTO E INSTALAÇÃO. AF_12/2014</v>
      </c>
      <c r="D430" s="77"/>
      <c r="E430" s="77"/>
      <c r="F430" s="77"/>
      <c r="G430" s="16" t="str">
        <f>VLOOKUP(B430,IF(A430="COMPOSICAO",S!$A:$D,I!$A:$D),3,FALSE)</f>
        <v>M</v>
      </c>
      <c r="H430" s="22">
        <f>2.14</f>
        <v>2.14</v>
      </c>
      <c r="I430" s="17">
        <f>IF(A430="COMPOSICAO",VLOOKUP("TOTAL - "&amp;B430,COMPOSICAO_AUX_1!$A:$J,10,FALSE),VLOOKUP(B430,I!$A:$D,4,FALSE))</f>
        <v>17.259999999999998</v>
      </c>
      <c r="J430" s="80">
        <f t="shared" ref="J430:J435" si="18">TRUNC(H430*I430,2)</f>
        <v>36.93</v>
      </c>
      <c r="K430" s="81"/>
      <c r="L430" s="3"/>
      <c r="M430" s="3"/>
      <c r="N430" s="3"/>
    </row>
    <row r="431" spans="1:14" ht="45" customHeight="1" x14ac:dyDescent="0.25">
      <c r="A431" s="16" t="s">
        <v>302</v>
      </c>
      <c r="B431" s="20">
        <v>89362</v>
      </c>
      <c r="C431" s="77" t="str">
        <f>VLOOKUP(B431,IF(A431="COMPOSICAO",S!$A:$D,I!$A:$D),2,FALSE)</f>
        <v>JOELHO 90 GRAUS, PVC, SOLDÁVEL, DN 25MM, INSTALADO EM RAMAL OU SUB-RAMAL DE ÁGUA - FORNECIMENTO E INSTALAÇÃO. AF_12/2014</v>
      </c>
      <c r="D431" s="77"/>
      <c r="E431" s="77"/>
      <c r="F431" s="77"/>
      <c r="G431" s="16" t="str">
        <f>VLOOKUP(B431,IF(A431="COMPOSICAO",S!$A:$D,I!$A:$D),3,FALSE)</f>
        <v>UN</v>
      </c>
      <c r="H431" s="22">
        <f>1.18</f>
        <v>1.18</v>
      </c>
      <c r="I431" s="17">
        <f>IF(A431="COMPOSICAO",VLOOKUP("TOTAL - "&amp;B431,COMPOSICAO_AUX_1!$A:$J,10,FALSE),VLOOKUP(B431,I!$A:$D,4,FALSE))</f>
        <v>6.9500000000000011</v>
      </c>
      <c r="J431" s="80">
        <f t="shared" si="18"/>
        <v>8.1999999999999993</v>
      </c>
      <c r="K431" s="81"/>
      <c r="L431" s="3"/>
      <c r="M431" s="3"/>
      <c r="N431" s="3"/>
    </row>
    <row r="432" spans="1:14" ht="60" customHeight="1" x14ac:dyDescent="0.25">
      <c r="A432" s="16" t="s">
        <v>302</v>
      </c>
      <c r="B432" s="20">
        <v>89366</v>
      </c>
      <c r="C432" s="77" t="str">
        <f>VLOOKUP(B432,IF(A432="COMPOSICAO",S!$A:$D,I!$A:$D),2,FALSE)</f>
        <v>JOELHO 90 GRAUS COM BUCHA DE LATÃO, PVC, SOLDÁVEL, DN 25MM, X 3/4 INSTALADO EM RAMAL OU SUB-RAMAL DE ÁGUA - FORNECIMENTO E INSTALAÇÃO. AF_12/2014</v>
      </c>
      <c r="D432" s="77"/>
      <c r="E432" s="77"/>
      <c r="F432" s="77"/>
      <c r="G432" s="16" t="str">
        <f>VLOOKUP(B432,IF(A432="COMPOSICAO",S!$A:$D,I!$A:$D),3,FALSE)</f>
        <v>UN</v>
      </c>
      <c r="H432" s="22">
        <f>1</f>
        <v>1</v>
      </c>
      <c r="I432" s="17">
        <f>IF(A432="COMPOSICAO",VLOOKUP("TOTAL - "&amp;B432,COMPOSICAO_AUX_1!$A:$J,10,FALSE),VLOOKUP(B432,I!$A:$D,4,FALSE))</f>
        <v>14.139999999999999</v>
      </c>
      <c r="J432" s="80">
        <f t="shared" si="18"/>
        <v>14.14</v>
      </c>
      <c r="K432" s="81"/>
      <c r="L432" s="3"/>
      <c r="M432" s="3"/>
      <c r="N432" s="3"/>
    </row>
    <row r="433" spans="1:14" ht="45" customHeight="1" x14ac:dyDescent="0.25">
      <c r="A433" s="16" t="s">
        <v>302</v>
      </c>
      <c r="B433" s="20">
        <v>89395</v>
      </c>
      <c r="C433" s="77" t="str">
        <f>VLOOKUP(B433,IF(A433="COMPOSICAO",S!$A:$D,I!$A:$D),2,FALSE)</f>
        <v>TE, PVC, SOLDÁVEL, DN 25MM, INSTALADO EM RAMAL OU SUB-RAMAL DE ÁGUA - FORNECIMENTO E INSTALAÇÃO. AF_12/2014</v>
      </c>
      <c r="D433" s="77"/>
      <c r="E433" s="77"/>
      <c r="F433" s="77"/>
      <c r="G433" s="16" t="str">
        <f>VLOOKUP(B433,IF(A433="COMPOSICAO",S!$A:$D,I!$A:$D),3,FALSE)</f>
        <v>UN</v>
      </c>
      <c r="H433" s="22">
        <f>0.89</f>
        <v>0.89</v>
      </c>
      <c r="I433" s="17">
        <f>IF(A433="COMPOSICAO",VLOOKUP("TOTAL - "&amp;B433,COMPOSICAO_AUX_1!$A:$J,10,FALSE),VLOOKUP(B433,I!$A:$D,4,FALSE))</f>
        <v>9.7800000000000011</v>
      </c>
      <c r="J433" s="80">
        <f t="shared" si="18"/>
        <v>8.6999999999999993</v>
      </c>
      <c r="K433" s="81"/>
      <c r="L433" s="3"/>
      <c r="M433" s="3"/>
      <c r="N433" s="3"/>
    </row>
    <row r="434" spans="1:14" ht="45" customHeight="1" x14ac:dyDescent="0.25">
      <c r="A434" s="16" t="s">
        <v>302</v>
      </c>
      <c r="B434" s="20">
        <v>90443</v>
      </c>
      <c r="C434" s="77" t="str">
        <f>VLOOKUP(B434,IF(A434="COMPOSICAO",S!$A:$D,I!$A:$D),2,FALSE)</f>
        <v>RASGO EM ALVENARIA PARA RAMAIS/ DISTRIBUIÇÃO COM DIAMETROS MENORES OU IGUAIS A 40 MM. AF_05/2015</v>
      </c>
      <c r="D434" s="77"/>
      <c r="E434" s="77"/>
      <c r="F434" s="77"/>
      <c r="G434" s="16" t="str">
        <f>VLOOKUP(B434,IF(A434="COMPOSICAO",S!$A:$D,I!$A:$D),3,FALSE)</f>
        <v>M</v>
      </c>
      <c r="H434" s="22">
        <f>2.14</f>
        <v>2.14</v>
      </c>
      <c r="I434" s="17">
        <f>IF(A434="COMPOSICAO",VLOOKUP("TOTAL - "&amp;B434,COMPOSICAO_AUX_1!$A:$J,10,FALSE),VLOOKUP(B434,I!$A:$D,4,FALSE))</f>
        <v>9.73</v>
      </c>
      <c r="J434" s="80">
        <f t="shared" si="18"/>
        <v>20.82</v>
      </c>
      <c r="K434" s="81"/>
      <c r="L434" s="3"/>
      <c r="M434" s="3"/>
      <c r="N434" s="3"/>
    </row>
    <row r="435" spans="1:14" ht="45" customHeight="1" x14ac:dyDescent="0.25">
      <c r="A435" s="16" t="s">
        <v>302</v>
      </c>
      <c r="B435" s="20">
        <v>90466</v>
      </c>
      <c r="C435" s="77" t="str">
        <f>VLOOKUP(B435,IF(A435="COMPOSICAO",S!$A:$D,I!$A:$D),2,FALSE)</f>
        <v>CHUMBAMENTO LINEAR EM ALVENARIA PARA RAMAIS/DISTRIBUIÇÃO COM DIÂMETROS MENORES OU IGUAIS A 40 MM. AF_05/2015</v>
      </c>
      <c r="D435" s="77"/>
      <c r="E435" s="77"/>
      <c r="F435" s="77"/>
      <c r="G435" s="16" t="str">
        <f>VLOOKUP(B435,IF(A435="COMPOSICAO",S!$A:$D,I!$A:$D),3,FALSE)</f>
        <v>M</v>
      </c>
      <c r="H435" s="22">
        <f>2.14</f>
        <v>2.14</v>
      </c>
      <c r="I435" s="17">
        <f>IF(A435="COMPOSICAO",VLOOKUP("TOTAL - "&amp;B435,COMPOSICAO_AUX_1!$A:$J,10,FALSE),VLOOKUP(B435,I!$A:$D,4,FALSE))</f>
        <v>9.9700000000000006</v>
      </c>
      <c r="J435" s="80">
        <f t="shared" si="18"/>
        <v>21.33</v>
      </c>
      <c r="K435" s="81"/>
      <c r="L435" s="3"/>
      <c r="M435" s="3"/>
      <c r="N435" s="3"/>
    </row>
    <row r="436" spans="1:14" ht="15" customHeight="1" x14ac:dyDescent="0.25">
      <c r="A436" s="23" t="s">
        <v>303</v>
      </c>
      <c r="B436" s="24"/>
      <c r="C436" s="24"/>
      <c r="D436" s="24"/>
      <c r="E436" s="24"/>
      <c r="F436" s="24"/>
      <c r="G436" s="25"/>
      <c r="H436" s="26"/>
      <c r="I436" s="27"/>
      <c r="J436" s="80">
        <f>SUM(J429:K435)</f>
        <v>110.11999999999999</v>
      </c>
      <c r="K436" s="81"/>
    </row>
    <row r="437" spans="1:14" ht="15" customHeight="1" x14ac:dyDescent="0.25">
      <c r="A437" s="23" t="str">
        <f>"TAXA DE BDI ("&amp;BDI&amp;" %)"</f>
        <v>TAXA DE BDI (20,8 %)</v>
      </c>
      <c r="B437" s="24"/>
      <c r="C437" s="24"/>
      <c r="D437" s="24"/>
      <c r="E437" s="24"/>
      <c r="F437" s="24"/>
      <c r="G437" s="25"/>
      <c r="H437" s="26"/>
      <c r="I437" s="27"/>
      <c r="J437" s="80">
        <f>ROUND(J436*(BDI/100),2)</f>
        <v>22.9</v>
      </c>
      <c r="K437" s="81"/>
    </row>
    <row r="438" spans="1:14" ht="15" customHeight="1" x14ac:dyDescent="0.25">
      <c r="A438" s="23" t="s">
        <v>414</v>
      </c>
      <c r="B438" s="24"/>
      <c r="C438" s="24"/>
      <c r="D438" s="24"/>
      <c r="E438" s="24"/>
      <c r="F438" s="24"/>
      <c r="G438" s="25"/>
      <c r="H438" s="26"/>
      <c r="I438" s="27"/>
      <c r="J438" s="80">
        <f>SUM(J436:K437)</f>
        <v>133.01999999999998</v>
      </c>
      <c r="K438" s="81"/>
    </row>
    <row r="439" spans="1:14" ht="15" customHeight="1" x14ac:dyDescent="0.25">
      <c r="A439" s="3"/>
      <c r="B439" s="3"/>
      <c r="C439" s="3"/>
      <c r="D439" s="3"/>
      <c r="E439" s="3"/>
      <c r="F439" s="3"/>
      <c r="G439" s="3"/>
      <c r="H439" s="3"/>
      <c r="I439" s="3"/>
      <c r="J439" s="3"/>
      <c r="K439" s="3"/>
    </row>
    <row r="440" spans="1:14" ht="15" customHeight="1" x14ac:dyDescent="0.25">
      <c r="A440" s="10" t="s">
        <v>295</v>
      </c>
      <c r="B440" s="10" t="s">
        <v>31</v>
      </c>
      <c r="C440" s="82" t="s">
        <v>7</v>
      </c>
      <c r="D440" s="83"/>
      <c r="E440" s="83"/>
      <c r="F440" s="83"/>
      <c r="G440" s="6" t="s">
        <v>32</v>
      </c>
      <c r="H440" s="6" t="s">
        <v>296</v>
      </c>
      <c r="I440" s="6" t="s">
        <v>297</v>
      </c>
      <c r="J440" s="57" t="s">
        <v>9</v>
      </c>
      <c r="K440" s="58"/>
    </row>
    <row r="441" spans="1:14" ht="30" customHeight="1" x14ac:dyDescent="0.25">
      <c r="A441" s="6" t="s">
        <v>11</v>
      </c>
      <c r="B441" s="6" t="s">
        <v>415</v>
      </c>
      <c r="C441" s="91" t="str">
        <f>VLOOKUP(B441,S!$A:$D,2,FALSE)</f>
        <v>CAIXA D'AGUA DE POLIETILENO - INSTALADA, EXCETO BASE DE APOIO, CAP. 500 LITROS</v>
      </c>
      <c r="D441" s="91"/>
      <c r="E441" s="91"/>
      <c r="F441" s="92"/>
      <c r="G441" s="6" t="str">
        <f>VLOOKUP(B441,S!$A:$D,3,FALSE)</f>
        <v>UN</v>
      </c>
      <c r="H441" s="21"/>
      <c r="I441" s="21">
        <f>J450</f>
        <v>542.7399999999999</v>
      </c>
      <c r="J441" s="76"/>
      <c r="K441" s="72"/>
      <c r="L441" s="21">
        <f>VLOOKUP(B441,S!$A:$D,4,FALSE)</f>
        <v>498.03</v>
      </c>
      <c r="M441" s="6" t="str">
        <f>IF(ROUND((L441-I441),2)=0,"OK, confere com a tabela.",IF(ROUND((L441-I441),2)&lt;0,"ACIMA ("&amp;TEXT(ROUND(I441*100/L441,4),"0,0000")&amp;" %) da tabela.","ABAIXO ("&amp;TEXT(ROUND(I441*100/L441,4),"0,0000")&amp;" %) da tabela."))</f>
        <v>ACIMA (108,9774 %) da tabela.</v>
      </c>
    </row>
    <row r="442" spans="1:14" ht="15" customHeight="1" x14ac:dyDescent="0.25">
      <c r="A442" s="16" t="s">
        <v>306</v>
      </c>
      <c r="B442" s="16" t="s">
        <v>416</v>
      </c>
      <c r="C442" s="77" t="str">
        <f>VLOOKUP(B442,IF(A442="COMPOSICAO",S!$A:$D,I!$A:$D),2,FALSE)</f>
        <v>FITA VEDA ROSCA 18MM</v>
      </c>
      <c r="D442" s="77"/>
      <c r="E442" s="77"/>
      <c r="F442" s="77"/>
      <c r="G442" s="16" t="str">
        <f>VLOOKUP(B442,IF(A442="COMPOSICAO",S!$A:$D,I!$A:$D),3,FALSE)</f>
        <v>M</v>
      </c>
      <c r="H442" s="22">
        <f>3.03</f>
        <v>3.03</v>
      </c>
      <c r="I442" s="17">
        <f>IF(A442="COMPOSICAO",VLOOKUP("TOTAL - "&amp;B442,COMPOSICAO_AUX_1!$A:$J,10,FALSE),VLOOKUP(B442,I!$A:$D,4,FALSE))</f>
        <v>0.28999999999999998</v>
      </c>
      <c r="J442" s="80">
        <f t="shared" ref="J442:J449" si="19">TRUNC(H442*I442,2)</f>
        <v>0.87</v>
      </c>
      <c r="K442" s="81"/>
      <c r="L442" s="3"/>
      <c r="M442" s="3"/>
      <c r="N442" s="3"/>
    </row>
    <row r="443" spans="1:14" ht="30" customHeight="1" x14ac:dyDescent="0.25">
      <c r="A443" s="16" t="s">
        <v>306</v>
      </c>
      <c r="B443" s="16" t="s">
        <v>417</v>
      </c>
      <c r="C443" s="77" t="str">
        <f>VLOOKUP(B443,IF(A443="COMPOSICAO",S!$A:$D,I!$A:$D),2,FALSE)</f>
        <v>CAIXA D'AGUA DE POLIETILENO ALTA DENSIDADE, CILINDRICA, 500 LITROS</v>
      </c>
      <c r="D443" s="77"/>
      <c r="E443" s="77"/>
      <c r="F443" s="77"/>
      <c r="G443" s="16" t="str">
        <f>VLOOKUP(B443,IF(A443="COMPOSICAO",S!$A:$D,I!$A:$D),3,FALSE)</f>
        <v>UN</v>
      </c>
      <c r="H443" s="22">
        <f>1</f>
        <v>1</v>
      </c>
      <c r="I443" s="17">
        <f>IF(A443="COMPOSICAO",VLOOKUP("TOTAL - "&amp;B443,COMPOSICAO_AUX_1!$A:$J,10,FALSE),VLOOKUP(B443,I!$A:$D,4,FALSE))</f>
        <v>212.17</v>
      </c>
      <c r="J443" s="80">
        <f t="shared" si="19"/>
        <v>212.17</v>
      </c>
      <c r="K443" s="81"/>
      <c r="L443" s="3"/>
      <c r="M443" s="3"/>
      <c r="N443" s="3"/>
    </row>
    <row r="444" spans="1:14" ht="30" customHeight="1" x14ac:dyDescent="0.25">
      <c r="A444" s="16" t="s">
        <v>306</v>
      </c>
      <c r="B444" s="20">
        <v>95</v>
      </c>
      <c r="C444" s="77" t="str">
        <f>VLOOKUP(B444,IF(A444="COMPOSICAO",S!$A:$D,I!$A:$D),2,FALSE)</f>
        <v>ADAPTADOR PVC SOLDAVEL, COM FLANGE E ANEL DE VEDACAO, 20 MM X 1/2", PARA CAIXA D'AGUA</v>
      </c>
      <c r="D444" s="77"/>
      <c r="E444" s="77"/>
      <c r="F444" s="77"/>
      <c r="G444" s="16" t="str">
        <f>VLOOKUP(B444,IF(A444="COMPOSICAO",S!$A:$D,I!$A:$D),3,FALSE)</f>
        <v>UN</v>
      </c>
      <c r="H444" s="22">
        <f>1</f>
        <v>1</v>
      </c>
      <c r="I444" s="17">
        <f>IF(A444="COMPOSICAO",VLOOKUP("TOTAL - "&amp;B444,COMPOSICAO_AUX_1!$A:$J,10,FALSE),VLOOKUP(B444,I!$A:$D,4,FALSE))</f>
        <v>10.7</v>
      </c>
      <c r="J444" s="80">
        <f t="shared" si="19"/>
        <v>10.7</v>
      </c>
      <c r="K444" s="81"/>
      <c r="L444" s="3"/>
      <c r="M444" s="3"/>
      <c r="N444" s="3"/>
    </row>
    <row r="445" spans="1:14" ht="30" customHeight="1" x14ac:dyDescent="0.25">
      <c r="A445" s="16" t="s">
        <v>306</v>
      </c>
      <c r="B445" s="20">
        <v>96</v>
      </c>
      <c r="C445" s="77" t="str">
        <f>VLOOKUP(B445,IF(A445="COMPOSICAO",S!$A:$D,I!$A:$D),2,FALSE)</f>
        <v>ADAPTADOR PVC SOLDAVEL, COM FLANGE E ANEL DE VEDACAO, 25 MM X 3/4", PARA CAIXA D'AGUA</v>
      </c>
      <c r="D445" s="77"/>
      <c r="E445" s="77"/>
      <c r="F445" s="77"/>
      <c r="G445" s="16" t="str">
        <f>VLOOKUP(B445,IF(A445="COMPOSICAO",S!$A:$D,I!$A:$D),3,FALSE)</f>
        <v>UN</v>
      </c>
      <c r="H445" s="22">
        <f>2</f>
        <v>2</v>
      </c>
      <c r="I445" s="17">
        <f>IF(A445="COMPOSICAO",VLOOKUP("TOTAL - "&amp;B445,COMPOSICAO_AUX_1!$A:$J,10,FALSE),VLOOKUP(B445,I!$A:$D,4,FALSE))</f>
        <v>12.31</v>
      </c>
      <c r="J445" s="80">
        <f t="shared" si="19"/>
        <v>24.62</v>
      </c>
      <c r="K445" s="81"/>
      <c r="L445" s="3"/>
      <c r="M445" s="3"/>
      <c r="N445" s="3"/>
    </row>
    <row r="446" spans="1:14" ht="30" customHeight="1" x14ac:dyDescent="0.25">
      <c r="A446" s="16" t="s">
        <v>306</v>
      </c>
      <c r="B446" s="20">
        <v>99</v>
      </c>
      <c r="C446" s="77" t="str">
        <f>VLOOKUP(B446,IF(A446="COMPOSICAO",S!$A:$D,I!$A:$D),2,FALSE)</f>
        <v>ADAPTADOR PVC SOLDAVEL, COM FLANGE E ANEL DE VEDACAO, 50 MM X 1 1/2", PARA CAIXA D'AGUA</v>
      </c>
      <c r="D446" s="77"/>
      <c r="E446" s="77"/>
      <c r="F446" s="77"/>
      <c r="G446" s="16" t="str">
        <f>VLOOKUP(B446,IF(A446="COMPOSICAO",S!$A:$D,I!$A:$D),3,FALSE)</f>
        <v>UN</v>
      </c>
      <c r="H446" s="22">
        <f>1</f>
        <v>1</v>
      </c>
      <c r="I446" s="17">
        <f>IF(A446="COMPOSICAO",VLOOKUP("TOTAL - "&amp;B446,COMPOSICAO_AUX_1!$A:$J,10,FALSE),VLOOKUP(B446,I!$A:$D,4,FALSE))</f>
        <v>26.12</v>
      </c>
      <c r="J446" s="80">
        <f t="shared" si="19"/>
        <v>26.12</v>
      </c>
      <c r="K446" s="81"/>
      <c r="L446" s="3"/>
      <c r="M446" s="3"/>
      <c r="N446" s="3"/>
    </row>
    <row r="447" spans="1:14" ht="15" customHeight="1" x14ac:dyDescent="0.25">
      <c r="A447" s="16" t="s">
        <v>302</v>
      </c>
      <c r="B447" s="20">
        <v>88267</v>
      </c>
      <c r="C447" s="77" t="str">
        <f>VLOOKUP(B447,IF(A447="COMPOSICAO",S!$A:$D,I!$A:$D),2,FALSE)</f>
        <v>ENCANADOR OU BOMBEIRO HIDRÁULICO COM ENCARGOS COMPLEMENTARES</v>
      </c>
      <c r="D447" s="77"/>
      <c r="E447" s="77"/>
      <c r="F447" s="77"/>
      <c r="G447" s="16" t="str">
        <f>VLOOKUP(B447,IF(A447="COMPOSICAO",S!$A:$D,I!$A:$D),3,FALSE)</f>
        <v>H</v>
      </c>
      <c r="H447" s="22">
        <f>7.7</f>
        <v>7.7</v>
      </c>
      <c r="I447" s="17">
        <f>IF(A447="COMPOSICAO",VLOOKUP("TOTAL - "&amp;B447,COMPOSICAO_AUX_1!$A:$J,10,FALSE),VLOOKUP(B447,I!$A:$D,4,FALSE))</f>
        <v>19.37</v>
      </c>
      <c r="J447" s="80">
        <f t="shared" si="19"/>
        <v>149.13999999999999</v>
      </c>
      <c r="K447" s="81"/>
      <c r="L447" s="3"/>
      <c r="M447" s="3"/>
      <c r="N447" s="3"/>
    </row>
    <row r="448" spans="1:14" ht="15" customHeight="1" x14ac:dyDescent="0.25">
      <c r="A448" s="16" t="s">
        <v>302</v>
      </c>
      <c r="B448" s="20">
        <v>88316</v>
      </c>
      <c r="C448" s="77" t="str">
        <f>VLOOKUP(B448,IF(A448="COMPOSICAO",S!$A:$D,I!$A:$D),2,FALSE)</f>
        <v>SERVENTE COM ENCARGOS COMPLEMENTARES</v>
      </c>
      <c r="D448" s="77"/>
      <c r="E448" s="77"/>
      <c r="F448" s="77"/>
      <c r="G448" s="16" t="str">
        <f>VLOOKUP(B448,IF(A448="COMPOSICAO",S!$A:$D,I!$A:$D),3,FALSE)</f>
        <v>H</v>
      </c>
      <c r="H448" s="22">
        <f>7.7</f>
        <v>7.7</v>
      </c>
      <c r="I448" s="17">
        <f>IF(A448="COMPOSICAO",VLOOKUP("TOTAL - "&amp;B448,COMPOSICAO_AUX_1!$A:$J,10,FALSE),VLOOKUP(B448,I!$A:$D,4,FALSE))</f>
        <v>15.35</v>
      </c>
      <c r="J448" s="80">
        <f t="shared" si="19"/>
        <v>118.19</v>
      </c>
      <c r="K448" s="81"/>
      <c r="L448" s="3"/>
      <c r="M448" s="3"/>
      <c r="N448" s="3"/>
    </row>
    <row r="449" spans="1:14" ht="15" customHeight="1" x14ac:dyDescent="0.25">
      <c r="A449" s="16" t="s">
        <v>306</v>
      </c>
      <c r="B449" s="20">
        <v>10498</v>
      </c>
      <c r="C449" s="77" t="str">
        <f>VLOOKUP(B449,IF(A449="COMPOSICAO",S!$A:$D,I!$A:$D),2,FALSE)</f>
        <v>MASSA PARA VIDRO</v>
      </c>
      <c r="D449" s="77"/>
      <c r="E449" s="77"/>
      <c r="F449" s="77"/>
      <c r="G449" s="16" t="str">
        <f>VLOOKUP(B449,IF(A449="COMPOSICAO",S!$A:$D,I!$A:$D),3,FALSE)</f>
        <v>KG</v>
      </c>
      <c r="H449" s="22">
        <f>0.1</f>
        <v>0.1</v>
      </c>
      <c r="I449" s="17">
        <f>IF(A449="COMPOSICAO",VLOOKUP("TOTAL - "&amp;B449,COMPOSICAO_AUX_1!$A:$J,10,FALSE),VLOOKUP(B449,I!$A:$D,4,FALSE))</f>
        <v>9.32</v>
      </c>
      <c r="J449" s="80">
        <f t="shared" si="19"/>
        <v>0.93</v>
      </c>
      <c r="K449" s="81"/>
      <c r="L449" s="3"/>
      <c r="M449" s="3"/>
      <c r="N449" s="3"/>
    </row>
    <row r="450" spans="1:14" ht="15" customHeight="1" x14ac:dyDescent="0.25">
      <c r="A450" s="23" t="s">
        <v>303</v>
      </c>
      <c r="B450" s="24"/>
      <c r="C450" s="24"/>
      <c r="D450" s="24"/>
      <c r="E450" s="24"/>
      <c r="F450" s="24"/>
      <c r="G450" s="25"/>
      <c r="H450" s="26"/>
      <c r="I450" s="27"/>
      <c r="J450" s="80">
        <f>SUM(J441:K449)</f>
        <v>542.7399999999999</v>
      </c>
      <c r="K450" s="81"/>
    </row>
    <row r="451" spans="1:14" ht="15" customHeight="1" x14ac:dyDescent="0.25">
      <c r="A451" s="23" t="str">
        <f>"TAXA DE BDI ("&amp;BDI&amp;" %)"</f>
        <v>TAXA DE BDI (20,8 %)</v>
      </c>
      <c r="B451" s="24"/>
      <c r="C451" s="24"/>
      <c r="D451" s="24"/>
      <c r="E451" s="24"/>
      <c r="F451" s="24"/>
      <c r="G451" s="25"/>
      <c r="H451" s="26"/>
      <c r="I451" s="27"/>
      <c r="J451" s="80">
        <f>ROUND(J450*(BDI/100),2)</f>
        <v>112.89</v>
      </c>
      <c r="K451" s="81"/>
    </row>
    <row r="452" spans="1:14" ht="15" customHeight="1" x14ac:dyDescent="0.25">
      <c r="A452" s="23" t="s">
        <v>418</v>
      </c>
      <c r="B452" s="24"/>
      <c r="C452" s="24"/>
      <c r="D452" s="24"/>
      <c r="E452" s="24"/>
      <c r="F452" s="24"/>
      <c r="G452" s="25"/>
      <c r="H452" s="26"/>
      <c r="I452" s="27"/>
      <c r="J452" s="80">
        <f>SUM(J450:K451)</f>
        <v>655.62999999999988</v>
      </c>
      <c r="K452" s="81"/>
    </row>
    <row r="453" spans="1:14" ht="15" customHeight="1" x14ac:dyDescent="0.25">
      <c r="A453" s="3"/>
      <c r="B453" s="3"/>
      <c r="C453" s="3"/>
      <c r="D453" s="3"/>
      <c r="E453" s="3"/>
      <c r="F453" s="3"/>
      <c r="G453" s="3"/>
      <c r="H453" s="3"/>
      <c r="I453" s="3"/>
      <c r="J453" s="3"/>
      <c r="K453" s="3"/>
    </row>
    <row r="454" spans="1:14" ht="15" customHeight="1" x14ac:dyDescent="0.25">
      <c r="A454" s="10" t="s">
        <v>295</v>
      </c>
      <c r="B454" s="10" t="s">
        <v>31</v>
      </c>
      <c r="C454" s="82" t="s">
        <v>7</v>
      </c>
      <c r="D454" s="83"/>
      <c r="E454" s="83"/>
      <c r="F454" s="83"/>
      <c r="G454" s="6" t="s">
        <v>32</v>
      </c>
      <c r="H454" s="6" t="s">
        <v>296</v>
      </c>
      <c r="I454" s="6" t="s">
        <v>297</v>
      </c>
      <c r="J454" s="57" t="s">
        <v>9</v>
      </c>
      <c r="K454" s="58"/>
    </row>
    <row r="455" spans="1:14" ht="90" customHeight="1" x14ac:dyDescent="0.25">
      <c r="A455" s="6" t="s">
        <v>413</v>
      </c>
      <c r="B455" s="28">
        <v>91785</v>
      </c>
      <c r="C455" s="91" t="str">
        <f>VLOOKUP(B455,S!$A:$D,2,FALSE)</f>
        <v>(COMPOSIÇÃO REPRESENTATIVA) DO SERVIÇO DE INSTALAÇÃO DE TUBOS DE PVC, SOLDÁVEL, ÁGUA FRIA, DN 25 MM (INSTALADO EM RAMAL, SUB-RAMAL, RAMAL DE DISTRIBUIÇÃO OU PRUMADA), INCLUSIVE CONEXÕES, CORTES E FIXAÇÕES, PARA PRÉDIOS. AF_10/2015</v>
      </c>
      <c r="D455" s="91"/>
      <c r="E455" s="91"/>
      <c r="F455" s="92"/>
      <c r="G455" s="6" t="str">
        <f>VLOOKUP(B455,S!$A:$D,3,FALSE)</f>
        <v>M</v>
      </c>
      <c r="H455" s="21"/>
      <c r="I455" s="21">
        <f>J481</f>
        <v>34.580000000000005</v>
      </c>
      <c r="J455" s="76"/>
      <c r="K455" s="72"/>
      <c r="L455" s="21">
        <f>VLOOKUP(B455,S!$A:$D,4,FALSE)</f>
        <v>34.58</v>
      </c>
      <c r="M455" s="6" t="str">
        <f>IF(ROUND((L455-I455),2)=0,"OK, confere com a tabela.",IF(ROUND((L455-I455),2)&lt;0,"ACIMA ("&amp;TEXT(ROUND(I455*100/L455,4),"0,0000")&amp;" %) da tabela.","ABAIXO ("&amp;TEXT(ROUND(I455*100/L455,4),"0,0000")&amp;" %) da tabela."))</f>
        <v>OK, confere com a tabela.</v>
      </c>
    </row>
    <row r="456" spans="1:14" ht="45" customHeight="1" x14ac:dyDescent="0.25">
      <c r="A456" s="16" t="s">
        <v>302</v>
      </c>
      <c r="B456" s="20">
        <v>89356</v>
      </c>
      <c r="C456" s="77" t="str">
        <f>VLOOKUP(B456,IF(A456="COMPOSICAO",S!$A:$D,I!$A:$D),2,FALSE)</f>
        <v>TUBO, PVC, SOLDÁVEL, DN 25MM, INSTALADO EM RAMAL OU SUB-RAMAL DE ÁGUA - FORNECIMENTO E INSTALAÇÃO. AF_12/2014</v>
      </c>
      <c r="D456" s="77"/>
      <c r="E456" s="77"/>
      <c r="F456" s="77"/>
      <c r="G456" s="16" t="str">
        <f>VLOOKUP(B456,IF(A456="COMPOSICAO",S!$A:$D,I!$A:$D),3,FALSE)</f>
        <v>M</v>
      </c>
      <c r="H456" s="22">
        <f>0.794</f>
        <v>0.79400000000000004</v>
      </c>
      <c r="I456" s="17">
        <f>IF(A456="COMPOSICAO",VLOOKUP("TOTAL - "&amp;B456,COMPOSICAO_AUX_1!$A:$J,10,FALSE),VLOOKUP(B456,I!$A:$D,4,FALSE))</f>
        <v>17.259999999999998</v>
      </c>
      <c r="J456" s="80">
        <f t="shared" ref="J456:J480" si="20">TRUNC(H456*I456,2)</f>
        <v>13.7</v>
      </c>
      <c r="K456" s="81"/>
      <c r="L456" s="3"/>
      <c r="M456" s="3"/>
      <c r="N456" s="3"/>
    </row>
    <row r="457" spans="1:14" ht="45" customHeight="1" x14ac:dyDescent="0.25">
      <c r="A457" s="16" t="s">
        <v>302</v>
      </c>
      <c r="B457" s="20">
        <v>89362</v>
      </c>
      <c r="C457" s="77" t="str">
        <f>VLOOKUP(B457,IF(A457="COMPOSICAO",S!$A:$D,I!$A:$D),2,FALSE)</f>
        <v>JOELHO 90 GRAUS, PVC, SOLDÁVEL, DN 25MM, INSTALADO EM RAMAL OU SUB-RAMAL DE ÁGUA - FORNECIMENTO E INSTALAÇÃO. AF_12/2014</v>
      </c>
      <c r="D457" s="77"/>
      <c r="E457" s="77"/>
      <c r="F457" s="77"/>
      <c r="G457" s="16" t="str">
        <f>VLOOKUP(B457,IF(A457="COMPOSICAO",S!$A:$D,I!$A:$D),3,FALSE)</f>
        <v>UN</v>
      </c>
      <c r="H457" s="22">
        <f>0.6543</f>
        <v>0.65429999999999999</v>
      </c>
      <c r="I457" s="17">
        <f>IF(A457="COMPOSICAO",VLOOKUP("TOTAL - "&amp;B457,COMPOSICAO_AUX_1!$A:$J,10,FALSE),VLOOKUP(B457,I!$A:$D,4,FALSE))</f>
        <v>6.9500000000000011</v>
      </c>
      <c r="J457" s="80">
        <f t="shared" si="20"/>
        <v>4.54</v>
      </c>
      <c r="K457" s="81"/>
      <c r="L457" s="3"/>
      <c r="M457" s="3"/>
      <c r="N457" s="3"/>
    </row>
    <row r="458" spans="1:14" ht="60" customHeight="1" x14ac:dyDescent="0.25">
      <c r="A458" s="16" t="s">
        <v>302</v>
      </c>
      <c r="B458" s="20">
        <v>89366</v>
      </c>
      <c r="C458" s="77" t="str">
        <f>VLOOKUP(B458,IF(A458="COMPOSICAO",S!$A:$D,I!$A:$D),2,FALSE)</f>
        <v>JOELHO 90 GRAUS COM BUCHA DE LATÃO, PVC, SOLDÁVEL, DN 25MM, X 3/4 INSTALADO EM RAMAL OU SUB-RAMAL DE ÁGUA - FORNECIMENTO E INSTALAÇÃO. AF_12/2014</v>
      </c>
      <c r="D458" s="77"/>
      <c r="E458" s="77"/>
      <c r="F458" s="77"/>
      <c r="G458" s="16" t="str">
        <f>VLOOKUP(B458,IF(A458="COMPOSICAO",S!$A:$D,I!$A:$D),3,FALSE)</f>
        <v>UN</v>
      </c>
      <c r="H458" s="22">
        <f>0.1694</f>
        <v>0.1694</v>
      </c>
      <c r="I458" s="17">
        <f>IF(A458="COMPOSICAO",VLOOKUP("TOTAL - "&amp;B458,COMPOSICAO_AUX_1!$A:$J,10,FALSE),VLOOKUP(B458,I!$A:$D,4,FALSE))</f>
        <v>14.139999999999999</v>
      </c>
      <c r="J458" s="80">
        <f t="shared" si="20"/>
        <v>2.39</v>
      </c>
      <c r="K458" s="81"/>
      <c r="L458" s="3"/>
      <c r="M458" s="3"/>
      <c r="N458" s="3"/>
    </row>
    <row r="459" spans="1:14" ht="45" customHeight="1" x14ac:dyDescent="0.25">
      <c r="A459" s="16" t="s">
        <v>302</v>
      </c>
      <c r="B459" s="20">
        <v>89378</v>
      </c>
      <c r="C459" s="77" t="str">
        <f>VLOOKUP(B459,IF(A459="COMPOSICAO",S!$A:$D,I!$A:$D),2,FALSE)</f>
        <v>LUVA, PVC, SOLDÁVEL, DN 25MM, INSTALADO EM RAMAL OU SUB-RAMAL DE ÁGUA - FORNECIMENTO E INSTALAÇÃO. AF_12/2014</v>
      </c>
      <c r="D459" s="77"/>
      <c r="E459" s="77"/>
      <c r="F459" s="77"/>
      <c r="G459" s="16" t="str">
        <f>VLOOKUP(B459,IF(A459="COMPOSICAO",S!$A:$D,I!$A:$D),3,FALSE)</f>
        <v>UN</v>
      </c>
      <c r="H459" s="22">
        <f>0.0773</f>
        <v>7.7299999999999994E-2</v>
      </c>
      <c r="I459" s="17">
        <f>IF(A459="COMPOSICAO",VLOOKUP("TOTAL - "&amp;B459,COMPOSICAO_AUX_1!$A:$J,10,FALSE),VLOOKUP(B459,I!$A:$D,4,FALSE))</f>
        <v>5.28</v>
      </c>
      <c r="J459" s="80">
        <f t="shared" si="20"/>
        <v>0.4</v>
      </c>
      <c r="K459" s="81"/>
      <c r="L459" s="3"/>
      <c r="M459" s="3"/>
      <c r="N459" s="3"/>
    </row>
    <row r="460" spans="1:14" ht="60" customHeight="1" x14ac:dyDescent="0.25">
      <c r="A460" s="16" t="s">
        <v>302</v>
      </c>
      <c r="B460" s="20">
        <v>89383</v>
      </c>
      <c r="C460" s="77" t="str">
        <f>VLOOKUP(B460,IF(A460="COMPOSICAO",S!$A:$D,I!$A:$D),2,FALSE)</f>
        <v>ADAPTADOR CURTO COM BOLSA E ROSCA PARA REGISTRO, PVC, SOLDÁVEL, DN 25MM X 3/4, INSTALADO EM RAMAL OU SUB-RAMAL DE ÁGUA - FORNECIMENTO E INSTALAÇÃO. AF_12/2014</v>
      </c>
      <c r="D460" s="77"/>
      <c r="E460" s="77"/>
      <c r="F460" s="77"/>
      <c r="G460" s="16" t="str">
        <f>VLOOKUP(B460,IF(A460="COMPOSICAO",S!$A:$D,I!$A:$D),3,FALSE)</f>
        <v>UN</v>
      </c>
      <c r="H460" s="22">
        <f>0.6522</f>
        <v>0.6522</v>
      </c>
      <c r="I460" s="17">
        <f>IF(A460="COMPOSICAO",VLOOKUP("TOTAL - "&amp;B460,COMPOSICAO_AUX_1!$A:$J,10,FALSE),VLOOKUP(B460,I!$A:$D,4,FALSE))</f>
        <v>5.39</v>
      </c>
      <c r="J460" s="80">
        <f t="shared" si="20"/>
        <v>3.51</v>
      </c>
      <c r="K460" s="81"/>
      <c r="L460" s="3"/>
      <c r="M460" s="3"/>
      <c r="N460" s="3"/>
    </row>
    <row r="461" spans="1:14" ht="45" customHeight="1" x14ac:dyDescent="0.25">
      <c r="A461" s="16" t="s">
        <v>302</v>
      </c>
      <c r="B461" s="20">
        <v>89395</v>
      </c>
      <c r="C461" s="77" t="str">
        <f>VLOOKUP(B461,IF(A461="COMPOSICAO",S!$A:$D,I!$A:$D),2,FALSE)</f>
        <v>TE, PVC, SOLDÁVEL, DN 25MM, INSTALADO EM RAMAL OU SUB-RAMAL DE ÁGUA - FORNECIMENTO E INSTALAÇÃO. AF_12/2014</v>
      </c>
      <c r="D461" s="77"/>
      <c r="E461" s="77"/>
      <c r="F461" s="77"/>
      <c r="G461" s="16" t="str">
        <f>VLOOKUP(B461,IF(A461="COMPOSICAO",S!$A:$D,I!$A:$D),3,FALSE)</f>
        <v>UN</v>
      </c>
      <c r="H461" s="22">
        <f>0.3037</f>
        <v>0.30370000000000003</v>
      </c>
      <c r="I461" s="17">
        <f>IF(A461="COMPOSICAO",VLOOKUP("TOTAL - "&amp;B461,COMPOSICAO_AUX_1!$A:$J,10,FALSE),VLOOKUP(B461,I!$A:$D,4,FALSE))</f>
        <v>9.7800000000000011</v>
      </c>
      <c r="J461" s="80">
        <f t="shared" si="20"/>
        <v>2.97</v>
      </c>
      <c r="K461" s="81"/>
      <c r="L461" s="3"/>
      <c r="M461" s="3"/>
      <c r="N461" s="3"/>
    </row>
    <row r="462" spans="1:14" ht="60" customHeight="1" x14ac:dyDescent="0.25">
      <c r="A462" s="16" t="s">
        <v>302</v>
      </c>
      <c r="B462" s="20">
        <v>89396</v>
      </c>
      <c r="C462" s="77" t="str">
        <f>VLOOKUP(B462,IF(A462="COMPOSICAO",S!$A:$D,I!$A:$D),2,FALSE)</f>
        <v>TÊ COM BUCHA DE LATÃO NA BOLSA CENTRAL, PVC, SOLDÁVEL, DN 25MM X 1/2, INSTALADO EM RAMAL OU SUB-RAMAL DE ÁGUA - FORNECIMENTO E INSTALAÇÃO. AF_12/2014</v>
      </c>
      <c r="D462" s="77"/>
      <c r="E462" s="77"/>
      <c r="F462" s="77"/>
      <c r="G462" s="16" t="str">
        <f>VLOOKUP(B462,IF(A462="COMPOSICAO",S!$A:$D,I!$A:$D),3,FALSE)</f>
        <v>UN</v>
      </c>
      <c r="H462" s="22">
        <f>0.0168</f>
        <v>1.6799999999999999E-2</v>
      </c>
      <c r="I462" s="17">
        <f>IF(A462="COMPOSICAO",VLOOKUP("TOTAL - "&amp;B462,COMPOSICAO_AUX_1!$A:$J,10,FALSE),VLOOKUP(B462,I!$A:$D,4,FALSE))</f>
        <v>18.12</v>
      </c>
      <c r="J462" s="80">
        <f t="shared" si="20"/>
        <v>0.3</v>
      </c>
      <c r="K462" s="81"/>
      <c r="L462" s="3"/>
      <c r="M462" s="3"/>
      <c r="N462" s="3"/>
    </row>
    <row r="463" spans="1:14" ht="45" customHeight="1" x14ac:dyDescent="0.25">
      <c r="A463" s="16" t="s">
        <v>302</v>
      </c>
      <c r="B463" s="20">
        <v>89400</v>
      </c>
      <c r="C463" s="77" t="str">
        <f>VLOOKUP(B463,IF(A463="COMPOSICAO",S!$A:$D,I!$A:$D),2,FALSE)</f>
        <v>TÊ DE REDUÇÃO, PVC, SOLDÁVEL, DN 32MM X 25MM, INSTALADO EM RAMAL OU SUB-RAMAL DE ÁGUA - FORNECIMENTO E INSTALAÇÃO. AF_12/2014</v>
      </c>
      <c r="D463" s="77"/>
      <c r="E463" s="77"/>
      <c r="F463" s="77"/>
      <c r="G463" s="16" t="str">
        <f>VLOOKUP(B463,IF(A463="COMPOSICAO",S!$A:$D,I!$A:$D),3,FALSE)</f>
        <v>UN</v>
      </c>
      <c r="H463" s="22">
        <f>0.0115</f>
        <v>1.15E-2</v>
      </c>
      <c r="I463" s="17">
        <f>IF(A463="COMPOSICAO",VLOOKUP("TOTAL - "&amp;B463,COMPOSICAO_AUX_1!$A:$J,10,FALSE),VLOOKUP(B463,I!$A:$D,4,FALSE))</f>
        <v>16.990000000000002</v>
      </c>
      <c r="J463" s="80">
        <f t="shared" si="20"/>
        <v>0.19</v>
      </c>
      <c r="K463" s="81"/>
      <c r="L463" s="3"/>
      <c r="M463" s="3"/>
      <c r="N463" s="3"/>
    </row>
    <row r="464" spans="1:14" ht="45" customHeight="1" x14ac:dyDescent="0.25">
      <c r="A464" s="16" t="s">
        <v>302</v>
      </c>
      <c r="B464" s="20">
        <v>89402</v>
      </c>
      <c r="C464" s="77" t="str">
        <f>VLOOKUP(B464,IF(A464="COMPOSICAO",S!$A:$D,I!$A:$D),2,FALSE)</f>
        <v>TUBO, PVC, SOLDÁVEL, DN 25MM, INSTALADO EM RAMAL DE DISTRIBUIÇÃO DE ÁGUA - FORNECIMENTO E INSTALAÇÃO. AF_12/2014</v>
      </c>
      <c r="D464" s="77"/>
      <c r="E464" s="77"/>
      <c r="F464" s="77"/>
      <c r="G464" s="16" t="str">
        <f>VLOOKUP(B464,IF(A464="COMPOSICAO",S!$A:$D,I!$A:$D),3,FALSE)</f>
        <v>M</v>
      </c>
      <c r="H464" s="22">
        <f>0.078</f>
        <v>7.8E-2</v>
      </c>
      <c r="I464" s="17">
        <f>IF(A464="COMPOSICAO",VLOOKUP("TOTAL - "&amp;B464,COMPOSICAO_AUX_1!$A:$J,10,FALSE),VLOOKUP(B464,I!$A:$D,4,FALSE))</f>
        <v>8.2899999999999991</v>
      </c>
      <c r="J464" s="80">
        <f t="shared" si="20"/>
        <v>0.64</v>
      </c>
      <c r="K464" s="81"/>
      <c r="L464" s="3"/>
      <c r="M464" s="3"/>
      <c r="N464" s="3"/>
    </row>
    <row r="465" spans="1:14" ht="45" customHeight="1" x14ac:dyDescent="0.25">
      <c r="A465" s="16" t="s">
        <v>302</v>
      </c>
      <c r="B465" s="20">
        <v>89408</v>
      </c>
      <c r="C465" s="77" t="str">
        <f>VLOOKUP(B465,IF(A465="COMPOSICAO",S!$A:$D,I!$A:$D),2,FALSE)</f>
        <v>JOELHO 90 GRAUS, PVC, SOLDÁVEL, DN 25MM, INSTALADO EM RAMAL DE DISTRIBUIÇÃO DE ÁGUA - FORNECIMENTO E INSTALAÇÃO. AF_12/2014</v>
      </c>
      <c r="D465" s="77"/>
      <c r="E465" s="77"/>
      <c r="F465" s="77"/>
      <c r="G465" s="16" t="str">
        <f>VLOOKUP(B465,IF(A465="COMPOSICAO",S!$A:$D,I!$A:$D),3,FALSE)</f>
        <v>UN</v>
      </c>
      <c r="H465" s="22">
        <f>0.0076</f>
        <v>7.6E-3</v>
      </c>
      <c r="I465" s="17">
        <f>IF(A465="COMPOSICAO",VLOOKUP("TOTAL - "&amp;B465,COMPOSICAO_AUX_1!$A:$J,10,FALSE),VLOOKUP(B465,I!$A:$D,4,FALSE))</f>
        <v>4.8500000000000005</v>
      </c>
      <c r="J465" s="80">
        <f t="shared" si="20"/>
        <v>0.03</v>
      </c>
      <c r="K465" s="81"/>
      <c r="L465" s="3"/>
      <c r="M465" s="3"/>
      <c r="N465" s="3"/>
    </row>
    <row r="466" spans="1:14" ht="45" customHeight="1" x14ac:dyDescent="0.25">
      <c r="A466" s="16" t="s">
        <v>302</v>
      </c>
      <c r="B466" s="20">
        <v>89424</v>
      </c>
      <c r="C466" s="77" t="str">
        <f>VLOOKUP(B466,IF(A466="COMPOSICAO",S!$A:$D,I!$A:$D),2,FALSE)</f>
        <v>LUVA, PVC, SOLDÁVEL, DN 25MM, INSTALADO EM RAMAL DE DISTRIBUIÇÃO DE ÁGUA - FORNECIMENTO E INSTALAÇÃO. AF_12/2014</v>
      </c>
      <c r="D466" s="77"/>
      <c r="E466" s="77"/>
      <c r="F466" s="77"/>
      <c r="G466" s="16" t="str">
        <f>VLOOKUP(B466,IF(A466="COMPOSICAO",S!$A:$D,I!$A:$D),3,FALSE)</f>
        <v>UN</v>
      </c>
      <c r="H466" s="22">
        <f>0.0135</f>
        <v>1.35E-2</v>
      </c>
      <c r="I466" s="17">
        <f>IF(A466="COMPOSICAO",VLOOKUP("TOTAL - "&amp;B466,COMPOSICAO_AUX_1!$A:$J,10,FALSE),VLOOKUP(B466,I!$A:$D,4,FALSE))</f>
        <v>3.87</v>
      </c>
      <c r="J466" s="80">
        <f t="shared" si="20"/>
        <v>0.05</v>
      </c>
      <c r="K466" s="81"/>
      <c r="L466" s="3"/>
      <c r="M466" s="3"/>
      <c r="N466" s="3"/>
    </row>
    <row r="467" spans="1:14" ht="45" customHeight="1" x14ac:dyDescent="0.25">
      <c r="A467" s="16" t="s">
        <v>302</v>
      </c>
      <c r="B467" s="20">
        <v>89440</v>
      </c>
      <c r="C467" s="77" t="str">
        <f>VLOOKUP(B467,IF(A467="COMPOSICAO",S!$A:$D,I!$A:$D),2,FALSE)</f>
        <v>TE, PVC, SOLDÁVEL, DN 25MM, INSTALADO EM RAMAL DE DISTRIBUIÇÃO DE ÁGUA - FORNECIMENTO E INSTALAÇÃO. AF_12/2014</v>
      </c>
      <c r="D467" s="77"/>
      <c r="E467" s="77"/>
      <c r="F467" s="77"/>
      <c r="G467" s="16" t="str">
        <f>VLOOKUP(B467,IF(A467="COMPOSICAO",S!$A:$D,I!$A:$D),3,FALSE)</f>
        <v>UN</v>
      </c>
      <c r="H467" s="22">
        <f>0.0017</f>
        <v>1.6999999999999999E-3</v>
      </c>
      <c r="I467" s="17">
        <f>IF(A467="COMPOSICAO",VLOOKUP("TOTAL - "&amp;B467,COMPOSICAO_AUX_1!$A:$J,10,FALSE),VLOOKUP(B467,I!$A:$D,4,FALSE))</f>
        <v>6.9700000000000006</v>
      </c>
      <c r="J467" s="80">
        <f t="shared" si="20"/>
        <v>0.01</v>
      </c>
      <c r="K467" s="81"/>
      <c r="L467" s="3"/>
      <c r="M467" s="3"/>
      <c r="N467" s="3"/>
    </row>
    <row r="468" spans="1:14" ht="60" customHeight="1" x14ac:dyDescent="0.25">
      <c r="A468" s="16" t="s">
        <v>302</v>
      </c>
      <c r="B468" s="20">
        <v>89445</v>
      </c>
      <c r="C468" s="77" t="str">
        <f>VLOOKUP(B468,IF(A468="COMPOSICAO",S!$A:$D,I!$A:$D),2,FALSE)</f>
        <v>TÊ DE REDUÇÃO, PVC, SOLDÁVEL, DN 32MM X 25MM, INSTALADO EM RAMAL DE DISTRIBUIÇÃO DE ÁGUA - FORNECIMENTO E INSTALAÇÃO. AF_12/2014</v>
      </c>
      <c r="D468" s="77"/>
      <c r="E468" s="77"/>
      <c r="F468" s="77"/>
      <c r="G468" s="16" t="str">
        <f>VLOOKUP(B468,IF(A468="COMPOSICAO",S!$A:$D,I!$A:$D),3,FALSE)</f>
        <v>UN</v>
      </c>
      <c r="H468" s="22">
        <f>0.0034</f>
        <v>3.3999999999999998E-3</v>
      </c>
      <c r="I468" s="17">
        <f>IF(A468="COMPOSICAO",VLOOKUP("TOTAL - "&amp;B468,COMPOSICAO_AUX_1!$A:$J,10,FALSE),VLOOKUP(B468,I!$A:$D,4,FALSE))</f>
        <v>13.63</v>
      </c>
      <c r="J468" s="80">
        <f t="shared" si="20"/>
        <v>0.04</v>
      </c>
      <c r="K468" s="81"/>
      <c r="L468" s="3"/>
      <c r="M468" s="3"/>
      <c r="N468" s="3"/>
    </row>
    <row r="469" spans="1:14" ht="45" customHeight="1" x14ac:dyDescent="0.25">
      <c r="A469" s="16" t="s">
        <v>302</v>
      </c>
      <c r="B469" s="20">
        <v>89446</v>
      </c>
      <c r="C469" s="77" t="str">
        <f>VLOOKUP(B469,IF(A469="COMPOSICAO",S!$A:$D,I!$A:$D),2,FALSE)</f>
        <v>TUBO, PVC, SOLDÁVEL, DN 25MM, INSTALADO EM PRUMADA DE ÁGUA - FORNECIMENTO E INSTALAÇÃO. AF_12/2014</v>
      </c>
      <c r="D469" s="77"/>
      <c r="E469" s="77"/>
      <c r="F469" s="77"/>
      <c r="G469" s="16" t="str">
        <f>VLOOKUP(B469,IF(A469="COMPOSICAO",S!$A:$D,I!$A:$D),3,FALSE)</f>
        <v>M</v>
      </c>
      <c r="H469" s="22">
        <f>0.128</f>
        <v>0.128</v>
      </c>
      <c r="I469" s="17">
        <f>IF(A469="COMPOSICAO",VLOOKUP("TOTAL - "&amp;B469,COMPOSICAO_AUX_1!$A:$J,10,FALSE),VLOOKUP(B469,I!$A:$D,4,FALSE))</f>
        <v>4.88</v>
      </c>
      <c r="J469" s="80">
        <f t="shared" si="20"/>
        <v>0.62</v>
      </c>
      <c r="K469" s="81"/>
      <c r="L469" s="3"/>
      <c r="M469" s="3"/>
      <c r="N469" s="3"/>
    </row>
    <row r="470" spans="1:14" ht="45" customHeight="1" x14ac:dyDescent="0.25">
      <c r="A470" s="16" t="s">
        <v>302</v>
      </c>
      <c r="B470" s="20">
        <v>89481</v>
      </c>
      <c r="C470" s="77" t="str">
        <f>VLOOKUP(B470,IF(A470="COMPOSICAO",S!$A:$D,I!$A:$D),2,FALSE)</f>
        <v>JOELHO 90 GRAUS, PVC, SOLDÁVEL, DN 25MM, INSTALADO EM PRUMADA DE ÁGUA - FORNECIMENTO E INSTALAÇÃO. AF_12/2014</v>
      </c>
      <c r="D470" s="77"/>
      <c r="E470" s="77"/>
      <c r="F470" s="77"/>
      <c r="G470" s="16" t="str">
        <f>VLOOKUP(B470,IF(A470="COMPOSICAO",S!$A:$D,I!$A:$D),3,FALSE)</f>
        <v>UN</v>
      </c>
      <c r="H470" s="22">
        <f>0.067</f>
        <v>6.7000000000000004E-2</v>
      </c>
      <c r="I470" s="17">
        <f>IF(A470="COMPOSICAO",VLOOKUP("TOTAL - "&amp;B470,COMPOSICAO_AUX_1!$A:$J,10,FALSE),VLOOKUP(B470,I!$A:$D,4,FALSE))</f>
        <v>3.7800000000000002</v>
      </c>
      <c r="J470" s="80">
        <f t="shared" si="20"/>
        <v>0.25</v>
      </c>
      <c r="K470" s="81"/>
      <c r="L470" s="3"/>
      <c r="M470" s="3"/>
      <c r="N470" s="3"/>
    </row>
    <row r="471" spans="1:14" ht="45" customHeight="1" x14ac:dyDescent="0.25">
      <c r="A471" s="16" t="s">
        <v>302</v>
      </c>
      <c r="B471" s="20">
        <v>89528</v>
      </c>
      <c r="C471" s="77" t="str">
        <f>VLOOKUP(B471,IF(A471="COMPOSICAO",S!$A:$D,I!$A:$D),2,FALSE)</f>
        <v>LUVA, PVC, SOLDÁVEL, DN 25MM, INSTALADO EM PRUMADA DE ÁGUA - FORNECIMENTO E INSTALAÇÃO. AF_12/2014</v>
      </c>
      <c r="D471" s="77"/>
      <c r="E471" s="77"/>
      <c r="F471" s="77"/>
      <c r="G471" s="16" t="str">
        <f>VLOOKUP(B471,IF(A471="COMPOSICAO",S!$A:$D,I!$A:$D),3,FALSE)</f>
        <v>UN</v>
      </c>
      <c r="H471" s="22">
        <f>0.0135</f>
        <v>1.35E-2</v>
      </c>
      <c r="I471" s="17">
        <f>IF(A471="COMPOSICAO",VLOOKUP("TOTAL - "&amp;B471,COMPOSICAO_AUX_1!$A:$J,10,FALSE),VLOOKUP(B471,I!$A:$D,4,FALSE))</f>
        <v>3.14</v>
      </c>
      <c r="J471" s="80">
        <f t="shared" si="20"/>
        <v>0.04</v>
      </c>
      <c r="K471" s="81"/>
      <c r="L471" s="3"/>
      <c r="M471" s="3"/>
      <c r="N471" s="3"/>
    </row>
    <row r="472" spans="1:14" ht="45" customHeight="1" x14ac:dyDescent="0.25">
      <c r="A472" s="16" t="s">
        <v>302</v>
      </c>
      <c r="B472" s="20">
        <v>89532</v>
      </c>
      <c r="C472" s="77" t="str">
        <f>VLOOKUP(B472,IF(A472="COMPOSICAO",S!$A:$D,I!$A:$D),2,FALSE)</f>
        <v>LUVA DE REDUÇÃO, PVC, SOLDÁVEL, DN 32MM X 25MM, INSTALADO EM PRUMADA DE ÁGUA - FORNECIMENTO E INSTALAÇÃO. AF_12/2014</v>
      </c>
      <c r="D472" s="77"/>
      <c r="E472" s="77"/>
      <c r="F472" s="77"/>
      <c r="G472" s="16" t="str">
        <f>VLOOKUP(B472,IF(A472="COMPOSICAO",S!$A:$D,I!$A:$D),3,FALSE)</f>
        <v>UN</v>
      </c>
      <c r="H472" s="22">
        <f>0.0461</f>
        <v>4.6100000000000002E-2</v>
      </c>
      <c r="I472" s="17">
        <f>IF(A472="COMPOSICAO",VLOOKUP("TOTAL - "&amp;B472,COMPOSICAO_AUX_1!$A:$J,10,FALSE),VLOOKUP(B472,I!$A:$D,4,FALSE))</f>
        <v>6.34</v>
      </c>
      <c r="J472" s="80">
        <f t="shared" si="20"/>
        <v>0.28999999999999998</v>
      </c>
      <c r="K472" s="81"/>
      <c r="L472" s="3"/>
      <c r="M472" s="3"/>
      <c r="N472" s="3"/>
    </row>
    <row r="473" spans="1:14" ht="45" customHeight="1" x14ac:dyDescent="0.25">
      <c r="A473" s="16" t="s">
        <v>302</v>
      </c>
      <c r="B473" s="20">
        <v>89622</v>
      </c>
      <c r="C473" s="77" t="str">
        <f>VLOOKUP(B473,IF(A473="COMPOSICAO",S!$A:$D,I!$A:$D),2,FALSE)</f>
        <v>TÊ DE REDUÇÃO, PVC, SOLDÁVEL, DN 32MM X 25MM, INSTALADO EM PRUMADA DE ÁGUA - FORNECIMENTO E INSTALAÇÃO. AF_12/2014</v>
      </c>
      <c r="D473" s="77"/>
      <c r="E473" s="77"/>
      <c r="F473" s="77"/>
      <c r="G473" s="16" t="str">
        <f>VLOOKUP(B473,IF(A473="COMPOSICAO",S!$A:$D,I!$A:$D),3,FALSE)</f>
        <v>UN</v>
      </c>
      <c r="H473" s="22">
        <f>0.0385</f>
        <v>3.85E-2</v>
      </c>
      <c r="I473" s="17">
        <f>IF(A473="COMPOSICAO",VLOOKUP("TOTAL - "&amp;B473,COMPOSICAO_AUX_1!$A:$J,10,FALSE),VLOOKUP(B473,I!$A:$D,4,FALSE))</f>
        <v>12.040000000000003</v>
      </c>
      <c r="J473" s="80">
        <f t="shared" si="20"/>
        <v>0.46</v>
      </c>
      <c r="K473" s="81"/>
      <c r="L473" s="3"/>
      <c r="M473" s="3"/>
      <c r="N473" s="3"/>
    </row>
    <row r="474" spans="1:14" ht="45" customHeight="1" x14ac:dyDescent="0.25">
      <c r="A474" s="16" t="s">
        <v>302</v>
      </c>
      <c r="B474" s="20">
        <v>89627</v>
      </c>
      <c r="C474" s="77" t="str">
        <f>VLOOKUP(B474,IF(A474="COMPOSICAO",S!$A:$D,I!$A:$D),2,FALSE)</f>
        <v>TÊ DE REDUÇÃO, PVC, SOLDÁVEL, DN 50MM X 25MM, INSTALADO EM PRUMADA DE ÁGUA - FORNECIMENTO E INSTALAÇÃO. AF_12/2014</v>
      </c>
      <c r="D474" s="77"/>
      <c r="E474" s="77"/>
      <c r="F474" s="77"/>
      <c r="G474" s="16" t="str">
        <f>VLOOKUP(B474,IF(A474="COMPOSICAO",S!$A:$D,I!$A:$D),3,FALSE)</f>
        <v>UN</v>
      </c>
      <c r="H474" s="22">
        <f>0.0031</f>
        <v>3.0999999999999999E-3</v>
      </c>
      <c r="I474" s="17">
        <f>IF(A474="COMPOSICAO",VLOOKUP("TOTAL - "&amp;B474,COMPOSICAO_AUX_1!$A:$J,10,FALSE),VLOOKUP(B474,I!$A:$D,4,FALSE))</f>
        <v>18.439999999999998</v>
      </c>
      <c r="J474" s="80">
        <f t="shared" si="20"/>
        <v>0.05</v>
      </c>
      <c r="K474" s="81"/>
      <c r="L474" s="3"/>
      <c r="M474" s="3"/>
      <c r="N474" s="3"/>
    </row>
    <row r="475" spans="1:14" ht="30" customHeight="1" x14ac:dyDescent="0.25">
      <c r="A475" s="16" t="s">
        <v>302</v>
      </c>
      <c r="B475" s="20">
        <v>90436</v>
      </c>
      <c r="C475" s="77" t="str">
        <f>VLOOKUP(B475,IF(A475="COMPOSICAO",S!$A:$D,I!$A:$D),2,FALSE)</f>
        <v>FURO EM ALVENARIA PARA DIÂMETROS MENORES OU IGUAIS A 40 MM. AF_05/2015</v>
      </c>
      <c r="D475" s="77"/>
      <c r="E475" s="77"/>
      <c r="F475" s="77"/>
      <c r="G475" s="16" t="str">
        <f>VLOOKUP(B475,IF(A475="COMPOSICAO",S!$A:$D,I!$A:$D),3,FALSE)</f>
        <v>UN</v>
      </c>
      <c r="H475" s="22">
        <f>0.0083</f>
        <v>8.3000000000000001E-3</v>
      </c>
      <c r="I475" s="17">
        <f>IF(A475="COMPOSICAO",VLOOKUP("TOTAL - "&amp;B475,COMPOSICAO_AUX_1!$A:$J,10,FALSE),VLOOKUP(B475,I!$A:$D,4,FALSE))</f>
        <v>10.71</v>
      </c>
      <c r="J475" s="80">
        <f t="shared" si="20"/>
        <v>0.08</v>
      </c>
      <c r="K475" s="81"/>
      <c r="L475" s="3"/>
      <c r="M475" s="3"/>
      <c r="N475" s="3"/>
    </row>
    <row r="476" spans="1:14" ht="45" customHeight="1" x14ac:dyDescent="0.25">
      <c r="A476" s="16" t="s">
        <v>302</v>
      </c>
      <c r="B476" s="20">
        <v>90443</v>
      </c>
      <c r="C476" s="77" t="str">
        <f>VLOOKUP(B476,IF(A476="COMPOSICAO",S!$A:$D,I!$A:$D),2,FALSE)</f>
        <v>RASGO EM ALVENARIA PARA RAMAIS/ DISTRIBUIÇÃO COM DIAMETROS MENORES OU IGUAIS A 40 MM. AF_05/2015</v>
      </c>
      <c r="D476" s="77"/>
      <c r="E476" s="77"/>
      <c r="F476" s="77"/>
      <c r="G476" s="16" t="str">
        <f>VLOOKUP(B476,IF(A476="COMPOSICAO",S!$A:$D,I!$A:$D),3,FALSE)</f>
        <v>M</v>
      </c>
      <c r="H476" s="22">
        <f>0.2006</f>
        <v>0.2006</v>
      </c>
      <c r="I476" s="17">
        <f>IF(A476="COMPOSICAO",VLOOKUP("TOTAL - "&amp;B476,COMPOSICAO_AUX_1!$A:$J,10,FALSE),VLOOKUP(B476,I!$A:$D,4,FALSE))</f>
        <v>9.73</v>
      </c>
      <c r="J476" s="80">
        <f t="shared" si="20"/>
        <v>1.95</v>
      </c>
      <c r="K476" s="81"/>
      <c r="L476" s="3"/>
      <c r="M476" s="3"/>
      <c r="N476" s="3"/>
    </row>
    <row r="477" spans="1:14" ht="30" customHeight="1" x14ac:dyDescent="0.25">
      <c r="A477" s="16" t="s">
        <v>302</v>
      </c>
      <c r="B477" s="20">
        <v>90453</v>
      </c>
      <c r="C477" s="77" t="str">
        <f>VLOOKUP(B477,IF(A477="COMPOSICAO",S!$A:$D,I!$A:$D),2,FALSE)</f>
        <v>PASSANTE TIPO TUBO DE DIÂMETRO MENOR OU IGUAL A 40 MM, FIXADO EM LAJE. AF_05/2015</v>
      </c>
      <c r="D477" s="77"/>
      <c r="E477" s="77"/>
      <c r="F477" s="77"/>
      <c r="G477" s="16" t="str">
        <f>VLOOKUP(B477,IF(A477="COMPOSICAO",S!$A:$D,I!$A:$D),3,FALSE)</f>
        <v>UN</v>
      </c>
      <c r="H477" s="22">
        <f>0.0071</f>
        <v>7.1000000000000004E-3</v>
      </c>
      <c r="I477" s="17">
        <f>IF(A477="COMPOSICAO",VLOOKUP("TOTAL - "&amp;B477,COMPOSICAO_AUX_1!$A:$J,10,FALSE),VLOOKUP(B477,I!$A:$D,4,FALSE))</f>
        <v>2.27</v>
      </c>
      <c r="J477" s="80">
        <f t="shared" si="20"/>
        <v>0.01</v>
      </c>
      <c r="K477" s="81"/>
      <c r="L477" s="3"/>
      <c r="M477" s="3"/>
      <c r="N477" s="3"/>
    </row>
    <row r="478" spans="1:14" ht="45" customHeight="1" x14ac:dyDescent="0.25">
      <c r="A478" s="16" t="s">
        <v>302</v>
      </c>
      <c r="B478" s="20">
        <v>90466</v>
      </c>
      <c r="C478" s="77" t="str">
        <f>VLOOKUP(B478,IF(A478="COMPOSICAO",S!$A:$D,I!$A:$D),2,FALSE)</f>
        <v>CHUMBAMENTO LINEAR EM ALVENARIA PARA RAMAIS/DISTRIBUIÇÃO COM DIÂMETROS MENORES OU IGUAIS A 40 MM. AF_05/2015</v>
      </c>
      <c r="D478" s="77"/>
      <c r="E478" s="77"/>
      <c r="F478" s="77"/>
      <c r="G478" s="16" t="str">
        <f>VLOOKUP(B478,IF(A478="COMPOSICAO",S!$A:$D,I!$A:$D),3,FALSE)</f>
        <v>M</v>
      </c>
      <c r="H478" s="22">
        <f>0.2006</f>
        <v>0.2006</v>
      </c>
      <c r="I478" s="17">
        <f>IF(A478="COMPOSICAO",VLOOKUP("TOTAL - "&amp;B478,COMPOSICAO_AUX_1!$A:$J,10,FALSE),VLOOKUP(B478,I!$A:$D,4,FALSE))</f>
        <v>9.9700000000000006</v>
      </c>
      <c r="J478" s="80">
        <f t="shared" si="20"/>
        <v>1.99</v>
      </c>
      <c r="K478" s="81"/>
      <c r="L478" s="3"/>
      <c r="M478" s="3"/>
      <c r="N478" s="3"/>
    </row>
    <row r="479" spans="1:14" ht="60" customHeight="1" x14ac:dyDescent="0.25">
      <c r="A479" s="16" t="s">
        <v>302</v>
      </c>
      <c r="B479" s="20">
        <v>91185</v>
      </c>
      <c r="C479" s="77" t="str">
        <f>VLOOKUP(B479,IF(A479="COMPOSICAO",S!$A:$D,I!$A:$D),2,FALSE)</f>
        <v>FIXAÇÃO DE TUBOS HORIZONTAIS DE PVC, CPVC OU COBRE DIÂMETROS MENORES OU IGUAIS A 40 MM COM ABRAÇADEIRA METÁLICA FLEXÍVEL 18 MM, FIXADA DIRETAMENTE NA LAJE. AF_05/2015</v>
      </c>
      <c r="D479" s="77"/>
      <c r="E479" s="77"/>
      <c r="F479" s="77"/>
      <c r="G479" s="16" t="str">
        <f>VLOOKUP(B479,IF(A479="COMPOSICAO",S!$A:$D,I!$A:$D),3,FALSE)</f>
        <v>M</v>
      </c>
      <c r="H479" s="22">
        <f>0.0092</f>
        <v>9.1999999999999998E-3</v>
      </c>
      <c r="I479" s="17">
        <f>IF(A479="COMPOSICAO",VLOOKUP("TOTAL - "&amp;B479,COMPOSICAO_AUX_1!$A:$J,10,FALSE),VLOOKUP(B479,I!$A:$D,4,FALSE))</f>
        <v>5.26</v>
      </c>
      <c r="J479" s="80">
        <f t="shared" si="20"/>
        <v>0.04</v>
      </c>
      <c r="K479" s="81"/>
      <c r="L479" s="3"/>
      <c r="M479" s="3"/>
      <c r="N479" s="3"/>
    </row>
    <row r="480" spans="1:14" ht="30" customHeight="1" x14ac:dyDescent="0.25">
      <c r="A480" s="16" t="s">
        <v>302</v>
      </c>
      <c r="B480" s="20">
        <v>91190</v>
      </c>
      <c r="C480" s="77" t="str">
        <f>VLOOKUP(B480,IF(A480="COMPOSICAO",S!$A:$D,I!$A:$D),2,FALSE)</f>
        <v>CHUMBAMENTO PONTUAL EM PASSAGEM DE TUBO COM DIÂMETRO MENOR OU IGUAL A 40 MM. AF_05/2015</v>
      </c>
      <c r="D480" s="77"/>
      <c r="E480" s="77"/>
      <c r="F480" s="77"/>
      <c r="G480" s="16" t="str">
        <f>VLOOKUP(B480,IF(A480="COMPOSICAO",S!$A:$D,I!$A:$D),3,FALSE)</f>
        <v>UN</v>
      </c>
      <c r="H480" s="22">
        <f>0.0083</f>
        <v>8.3000000000000001E-3</v>
      </c>
      <c r="I480" s="17">
        <f>IF(A480="COMPOSICAO",VLOOKUP("TOTAL - "&amp;B480,COMPOSICAO_AUX_1!$A:$J,10,FALSE),VLOOKUP(B480,I!$A:$D,4,FALSE))</f>
        <v>3.84</v>
      </c>
      <c r="J480" s="80">
        <f t="shared" si="20"/>
        <v>0.03</v>
      </c>
      <c r="K480" s="81"/>
      <c r="L480" s="3"/>
      <c r="M480" s="3"/>
      <c r="N480" s="3"/>
    </row>
    <row r="481" spans="1:14" ht="15" customHeight="1" x14ac:dyDescent="0.25">
      <c r="A481" s="23" t="s">
        <v>303</v>
      </c>
      <c r="B481" s="24"/>
      <c r="C481" s="24"/>
      <c r="D481" s="24"/>
      <c r="E481" s="24"/>
      <c r="F481" s="24"/>
      <c r="G481" s="25"/>
      <c r="H481" s="26"/>
      <c r="I481" s="27"/>
      <c r="J481" s="80">
        <f>SUM(J455:K480)</f>
        <v>34.580000000000005</v>
      </c>
      <c r="K481" s="81"/>
    </row>
    <row r="482" spans="1:14" ht="15" customHeight="1" x14ac:dyDescent="0.25">
      <c r="A482" s="23" t="str">
        <f>"TAXA DE BDI ("&amp;BDI&amp;" %)"</f>
        <v>TAXA DE BDI (20,8 %)</v>
      </c>
      <c r="B482" s="24"/>
      <c r="C482" s="24"/>
      <c r="D482" s="24"/>
      <c r="E482" s="24"/>
      <c r="F482" s="24"/>
      <c r="G482" s="25"/>
      <c r="H482" s="26"/>
      <c r="I482" s="27"/>
      <c r="J482" s="80">
        <f>ROUND(J481*(BDI/100),2)</f>
        <v>7.19</v>
      </c>
      <c r="K482" s="81"/>
    </row>
    <row r="483" spans="1:14" ht="15" customHeight="1" x14ac:dyDescent="0.25">
      <c r="A483" s="23" t="s">
        <v>419</v>
      </c>
      <c r="B483" s="24"/>
      <c r="C483" s="24"/>
      <c r="D483" s="24"/>
      <c r="E483" s="24"/>
      <c r="F483" s="24"/>
      <c r="G483" s="25"/>
      <c r="H483" s="26"/>
      <c r="I483" s="27"/>
      <c r="J483" s="80">
        <f>SUM(J481:K482)</f>
        <v>41.77</v>
      </c>
      <c r="K483" s="81"/>
    </row>
    <row r="484" spans="1:14" ht="15" customHeight="1" x14ac:dyDescent="0.25">
      <c r="A484" s="3"/>
      <c r="B484" s="3"/>
      <c r="C484" s="3"/>
      <c r="D484" s="3"/>
      <c r="E484" s="3"/>
      <c r="F484" s="3"/>
      <c r="G484" s="3"/>
      <c r="H484" s="3"/>
      <c r="I484" s="3"/>
      <c r="J484" s="3"/>
      <c r="K484" s="3"/>
    </row>
    <row r="485" spans="1:14" ht="15" customHeight="1" x14ac:dyDescent="0.25">
      <c r="A485" s="10" t="s">
        <v>295</v>
      </c>
      <c r="B485" s="10" t="s">
        <v>31</v>
      </c>
      <c r="C485" s="82" t="s">
        <v>7</v>
      </c>
      <c r="D485" s="83"/>
      <c r="E485" s="83"/>
      <c r="F485" s="83"/>
      <c r="G485" s="6" t="s">
        <v>32</v>
      </c>
      <c r="H485" s="6" t="s">
        <v>296</v>
      </c>
      <c r="I485" s="6" t="s">
        <v>297</v>
      </c>
      <c r="J485" s="57" t="s">
        <v>9</v>
      </c>
      <c r="K485" s="58"/>
    </row>
    <row r="486" spans="1:14" ht="45" customHeight="1" x14ac:dyDescent="0.25">
      <c r="A486" s="6" t="s">
        <v>11</v>
      </c>
      <c r="B486" s="6" t="s">
        <v>420</v>
      </c>
      <c r="C486" s="91" t="str">
        <f>VLOOKUP(B486,S!$A:$D,2,FALSE)</f>
        <v>PONTO DE ESGOTO COM TUBO DE PVC RÍGIDO SOLDÁVEL DE  Ø 40 MM (LAVATÓRIOS, MICTÓRIOS, RALOS SIFONADOS, ETC...)</v>
      </c>
      <c r="D486" s="91"/>
      <c r="E486" s="91"/>
      <c r="F486" s="92"/>
      <c r="G486" s="6" t="str">
        <f>VLOOKUP(B486,S!$A:$D,3,FALSE)</f>
        <v>UN</v>
      </c>
      <c r="H486" s="21"/>
      <c r="I486" s="21">
        <f>J496</f>
        <v>69.34</v>
      </c>
      <c r="J486" s="76"/>
      <c r="K486" s="72"/>
      <c r="L486" s="21">
        <f>VLOOKUP(B486,S!$A:$D,4,FALSE)</f>
        <v>70.959999999999994</v>
      </c>
      <c r="M486" s="6" t="str">
        <f>IF(ROUND((L486-I486),2)=0,"OK, confere com a tabela.",IF(ROUND((L486-I486),2)&lt;0,"ACIMA ("&amp;TEXT(ROUND(I486*100/L486,4),"0,0000")&amp;" %) da tabela.","ABAIXO ("&amp;TEXT(ROUND(I486*100/L486,4),"0,0000")&amp;" %) da tabela."))</f>
        <v>ABAIXO (97,7170 %) da tabela.</v>
      </c>
    </row>
    <row r="487" spans="1:14" ht="15" customHeight="1" x14ac:dyDescent="0.25">
      <c r="A487" s="16" t="s">
        <v>306</v>
      </c>
      <c r="B487" s="16" t="s">
        <v>421</v>
      </c>
      <c r="C487" s="77" t="str">
        <f>VLOOKUP(B487,IF(A487="COMPOSICAO",S!$A:$D,I!$A:$D),2,FALSE)</f>
        <v>ADESIVO PVC EM FRASCO DE 850 GRAMAS</v>
      </c>
      <c r="D487" s="77"/>
      <c r="E487" s="77"/>
      <c r="F487" s="77"/>
      <c r="G487" s="16" t="str">
        <f>VLOOKUP(B487,IF(A487="COMPOSICAO",S!$A:$D,I!$A:$D),3,FALSE)</f>
        <v>KG</v>
      </c>
      <c r="H487" s="22">
        <f>0.039</f>
        <v>3.9E-2</v>
      </c>
      <c r="I487" s="17">
        <f>IF(A487="COMPOSICAO",VLOOKUP("TOTAL - "&amp;B487,COMPOSICAO_AUX_1!$A:$J,10,FALSE),VLOOKUP(B487,I!$A:$D,4,FALSE))</f>
        <v>85.01</v>
      </c>
      <c r="J487" s="80">
        <f t="shared" ref="J487:J495" si="21">TRUNC(H487*I487,2)</f>
        <v>3.31</v>
      </c>
      <c r="K487" s="81"/>
      <c r="L487" s="3"/>
      <c r="M487" s="3"/>
      <c r="N487" s="3"/>
    </row>
    <row r="488" spans="1:14" ht="15" customHeight="1" x14ac:dyDescent="0.25">
      <c r="A488" s="16" t="s">
        <v>306</v>
      </c>
      <c r="B488" s="16" t="s">
        <v>422</v>
      </c>
      <c r="C488" s="77" t="str">
        <f>VLOOKUP(B488,IF(A488="COMPOSICAO",S!$A:$D,I!$A:$D),2,FALSE)</f>
        <v>PASTA LUBRIFICANTE P/  PVC JE</v>
      </c>
      <c r="D488" s="77"/>
      <c r="E488" s="77"/>
      <c r="F488" s="77"/>
      <c r="G488" s="16" t="str">
        <f>VLOOKUP(B488,IF(A488="COMPOSICAO",S!$A:$D,I!$A:$D),3,FALSE)</f>
        <v>KG</v>
      </c>
      <c r="H488" s="22">
        <f>0.09</f>
        <v>0.09</v>
      </c>
      <c r="I488" s="17">
        <f>IF(A488="COMPOSICAO",VLOOKUP("TOTAL - "&amp;B488,COMPOSICAO_AUX_1!$A:$J,10,FALSE),VLOOKUP(B488,I!$A:$D,4,FALSE))</f>
        <v>66.150000000000006</v>
      </c>
      <c r="J488" s="80">
        <f t="shared" si="21"/>
        <v>5.95</v>
      </c>
      <c r="K488" s="81"/>
      <c r="L488" s="3"/>
      <c r="M488" s="3"/>
      <c r="N488" s="3"/>
    </row>
    <row r="489" spans="1:14" ht="15" customHeight="1" x14ac:dyDescent="0.25">
      <c r="A489" s="16" t="s">
        <v>306</v>
      </c>
      <c r="B489" s="16" t="s">
        <v>423</v>
      </c>
      <c r="C489" s="77" t="str">
        <f>VLOOKUP(B489,IF(A489="COMPOSICAO",S!$A:$D,I!$A:$D),2,FALSE)</f>
        <v>SOLUCAO LIMPADORA PVC</v>
      </c>
      <c r="D489" s="77"/>
      <c r="E489" s="77"/>
      <c r="F489" s="77"/>
      <c r="G489" s="16" t="str">
        <f>VLOOKUP(B489,IF(A489="COMPOSICAO",S!$A:$D,I!$A:$D),3,FALSE)</f>
        <v>L</v>
      </c>
      <c r="H489" s="22">
        <f>0.06</f>
        <v>0.06</v>
      </c>
      <c r="I489" s="17">
        <f>IF(A489="COMPOSICAO",VLOOKUP("TOTAL - "&amp;B489,COMPOSICAO_AUX_1!$A:$J,10,FALSE),VLOOKUP(B489,I!$A:$D,4,FALSE))</f>
        <v>62.75</v>
      </c>
      <c r="J489" s="80">
        <f t="shared" si="21"/>
        <v>3.76</v>
      </c>
      <c r="K489" s="81"/>
      <c r="L489" s="3"/>
      <c r="M489" s="3"/>
      <c r="N489" s="3"/>
    </row>
    <row r="490" spans="1:14" ht="15" customHeight="1" x14ac:dyDescent="0.25">
      <c r="A490" s="16" t="s">
        <v>302</v>
      </c>
      <c r="B490" s="20">
        <v>88267</v>
      </c>
      <c r="C490" s="77" t="str">
        <f>VLOOKUP(B490,IF(A490="COMPOSICAO",S!$A:$D,I!$A:$D),2,FALSE)</f>
        <v>ENCANADOR OU BOMBEIRO HIDRÁULICO COM ENCARGOS COMPLEMENTARES</v>
      </c>
      <c r="D490" s="77"/>
      <c r="E490" s="77"/>
      <c r="F490" s="77"/>
      <c r="G490" s="16" t="str">
        <f>VLOOKUP(B490,IF(A490="COMPOSICAO",S!$A:$D,I!$A:$D),3,FALSE)</f>
        <v>H</v>
      </c>
      <c r="H490" s="22">
        <f>0.65</f>
        <v>0.65</v>
      </c>
      <c r="I490" s="17">
        <f>IF(A490="COMPOSICAO",VLOOKUP("TOTAL - "&amp;B490,COMPOSICAO_AUX_1!$A:$J,10,FALSE),VLOOKUP(B490,I!$A:$D,4,FALSE))</f>
        <v>19.37</v>
      </c>
      <c r="J490" s="80">
        <f t="shared" si="21"/>
        <v>12.59</v>
      </c>
      <c r="K490" s="81"/>
      <c r="L490" s="3"/>
      <c r="M490" s="3"/>
      <c r="N490" s="3"/>
    </row>
    <row r="491" spans="1:14" ht="30" customHeight="1" x14ac:dyDescent="0.25">
      <c r="A491" s="16" t="s">
        <v>306</v>
      </c>
      <c r="B491" s="20">
        <v>3516</v>
      </c>
      <c r="C491" s="77" t="str">
        <f>VLOOKUP(B491,IF(A491="COMPOSICAO",S!$A:$D,I!$A:$D),2,FALSE)</f>
        <v>JOELHO PVC, SOLDAVEL, BB, 45 GRAUS, DN 40 MM, PARA ESGOTO PREDIAL</v>
      </c>
      <c r="D491" s="77"/>
      <c r="E491" s="77"/>
      <c r="F491" s="77"/>
      <c r="G491" s="16" t="str">
        <f>VLOOKUP(B491,IF(A491="COMPOSICAO",S!$A:$D,I!$A:$D),3,FALSE)</f>
        <v>UN</v>
      </c>
      <c r="H491" s="22">
        <f>3</f>
        <v>3</v>
      </c>
      <c r="I491" s="17">
        <f>IF(A491="COMPOSICAO",VLOOKUP("TOTAL - "&amp;B491,COMPOSICAO_AUX_1!$A:$J,10,FALSE),VLOOKUP(B491,I!$A:$D,4,FALSE))</f>
        <v>1</v>
      </c>
      <c r="J491" s="80">
        <f t="shared" si="21"/>
        <v>3</v>
      </c>
      <c r="K491" s="81"/>
      <c r="L491" s="3"/>
      <c r="M491" s="3"/>
      <c r="N491" s="3"/>
    </row>
    <row r="492" spans="1:14" ht="30" customHeight="1" x14ac:dyDescent="0.25">
      <c r="A492" s="16" t="s">
        <v>306</v>
      </c>
      <c r="B492" s="20">
        <v>3517</v>
      </c>
      <c r="C492" s="77" t="str">
        <f>VLOOKUP(B492,IF(A492="COMPOSICAO",S!$A:$D,I!$A:$D),2,FALSE)</f>
        <v>JOELHO PVC, SOLDAVEL, BB, 90 GRAUS, DN 40 MM, PARA ESGOTO PREDIAL</v>
      </c>
      <c r="D492" s="77"/>
      <c r="E492" s="77"/>
      <c r="F492" s="77"/>
      <c r="G492" s="16" t="str">
        <f>VLOOKUP(B492,IF(A492="COMPOSICAO",S!$A:$D,I!$A:$D),3,FALSE)</f>
        <v>UN</v>
      </c>
      <c r="H492" s="22">
        <f>3</f>
        <v>3</v>
      </c>
      <c r="I492" s="17">
        <f>IF(A492="COMPOSICAO",VLOOKUP("TOTAL - "&amp;B492,COMPOSICAO_AUX_1!$A:$J,10,FALSE),VLOOKUP(B492,I!$A:$D,4,FALSE))</f>
        <v>3.49</v>
      </c>
      <c r="J492" s="80">
        <f t="shared" si="21"/>
        <v>10.47</v>
      </c>
      <c r="K492" s="81"/>
      <c r="L492" s="3"/>
      <c r="M492" s="3"/>
      <c r="N492" s="3"/>
    </row>
    <row r="493" spans="1:14" ht="30" customHeight="1" x14ac:dyDescent="0.25">
      <c r="A493" s="16" t="s">
        <v>306</v>
      </c>
      <c r="B493" s="20">
        <v>3767</v>
      </c>
      <c r="C493" s="77" t="str">
        <f>VLOOKUP(B493,IF(A493="COMPOSICAO",S!$A:$D,I!$A:$D),2,FALSE)</f>
        <v>LIXA EM FOLHA PARA PAREDE OU MADEIRA, NUMERO 120 (COR VERMELHA)</v>
      </c>
      <c r="D493" s="77"/>
      <c r="E493" s="77"/>
      <c r="F493" s="77"/>
      <c r="G493" s="16" t="str">
        <f>VLOOKUP(B493,IF(A493="COMPOSICAO",S!$A:$D,I!$A:$D),3,FALSE)</f>
        <v>UN</v>
      </c>
      <c r="H493" s="22">
        <f>0.2</f>
        <v>0.2</v>
      </c>
      <c r="I493" s="17">
        <f>IF(A493="COMPOSICAO",VLOOKUP("TOTAL - "&amp;B493,COMPOSICAO_AUX_1!$A:$J,10,FALSE),VLOOKUP(B493,I!$A:$D,4,FALSE))</f>
        <v>0.65</v>
      </c>
      <c r="J493" s="80">
        <f t="shared" si="21"/>
        <v>0.13</v>
      </c>
      <c r="K493" s="81"/>
      <c r="L493" s="3"/>
      <c r="M493" s="3"/>
      <c r="N493" s="3"/>
    </row>
    <row r="494" spans="1:14" ht="15" customHeight="1" x14ac:dyDescent="0.25">
      <c r="A494" s="16" t="s">
        <v>302</v>
      </c>
      <c r="B494" s="20">
        <v>88316</v>
      </c>
      <c r="C494" s="77" t="str">
        <f>VLOOKUP(B494,IF(A494="COMPOSICAO",S!$A:$D,I!$A:$D),2,FALSE)</f>
        <v>SERVENTE COM ENCARGOS COMPLEMENTARES</v>
      </c>
      <c r="D494" s="77"/>
      <c r="E494" s="77"/>
      <c r="F494" s="77"/>
      <c r="G494" s="16" t="str">
        <f>VLOOKUP(B494,IF(A494="COMPOSICAO",S!$A:$D,I!$A:$D),3,FALSE)</f>
        <v>H</v>
      </c>
      <c r="H494" s="22">
        <f>0.65</f>
        <v>0.65</v>
      </c>
      <c r="I494" s="17">
        <f>IF(A494="COMPOSICAO",VLOOKUP("TOTAL - "&amp;B494,COMPOSICAO_AUX_1!$A:$J,10,FALSE),VLOOKUP(B494,I!$A:$D,4,FALSE))</f>
        <v>15.35</v>
      </c>
      <c r="J494" s="80">
        <f t="shared" si="21"/>
        <v>9.9700000000000006</v>
      </c>
      <c r="K494" s="81"/>
      <c r="L494" s="3"/>
      <c r="M494" s="3"/>
      <c r="N494" s="3"/>
    </row>
    <row r="495" spans="1:14" ht="30" customHeight="1" x14ac:dyDescent="0.25">
      <c r="A495" s="16" t="s">
        <v>306</v>
      </c>
      <c r="B495" s="20">
        <v>9835</v>
      </c>
      <c r="C495" s="77" t="str">
        <f>VLOOKUP(B495,IF(A495="COMPOSICAO",S!$A:$D,I!$A:$D),2,FALSE)</f>
        <v>TUBO PVC  SERIE NORMAL, DN 40 MM, PARA ESGOTO  PREDIAL (NBR 5688)</v>
      </c>
      <c r="D495" s="77"/>
      <c r="E495" s="77"/>
      <c r="F495" s="77"/>
      <c r="G495" s="16" t="str">
        <f>VLOOKUP(B495,IF(A495="COMPOSICAO",S!$A:$D,I!$A:$D),3,FALSE)</f>
        <v>M</v>
      </c>
      <c r="H495" s="22">
        <f>4</f>
        <v>4</v>
      </c>
      <c r="I495" s="17">
        <f>IF(A495="COMPOSICAO",VLOOKUP("TOTAL - "&amp;B495,COMPOSICAO_AUX_1!$A:$J,10,FALSE),VLOOKUP(B495,I!$A:$D,4,FALSE))</f>
        <v>5.04</v>
      </c>
      <c r="J495" s="80">
        <f t="shared" si="21"/>
        <v>20.16</v>
      </c>
      <c r="K495" s="81"/>
      <c r="L495" s="3"/>
      <c r="M495" s="3"/>
      <c r="N495" s="3"/>
    </row>
    <row r="496" spans="1:14" ht="15" customHeight="1" x14ac:dyDescent="0.25">
      <c r="A496" s="23" t="s">
        <v>303</v>
      </c>
      <c r="B496" s="24"/>
      <c r="C496" s="24"/>
      <c r="D496" s="24"/>
      <c r="E496" s="24"/>
      <c r="F496" s="24"/>
      <c r="G496" s="25"/>
      <c r="H496" s="26"/>
      <c r="I496" s="27"/>
      <c r="J496" s="80">
        <f>SUM(J486:K495)</f>
        <v>69.34</v>
      </c>
      <c r="K496" s="81"/>
    </row>
    <row r="497" spans="1:14" ht="15" customHeight="1" x14ac:dyDescent="0.25">
      <c r="A497" s="23" t="str">
        <f>"TAXA DE BDI ("&amp;BDI&amp;" %)"</f>
        <v>TAXA DE BDI (20,8 %)</v>
      </c>
      <c r="B497" s="24"/>
      <c r="C497" s="24"/>
      <c r="D497" s="24"/>
      <c r="E497" s="24"/>
      <c r="F497" s="24"/>
      <c r="G497" s="25"/>
      <c r="H497" s="26"/>
      <c r="I497" s="27"/>
      <c r="J497" s="80">
        <f>ROUND(J496*(BDI/100),2)</f>
        <v>14.42</v>
      </c>
      <c r="K497" s="81"/>
    </row>
    <row r="498" spans="1:14" ht="15" customHeight="1" x14ac:dyDescent="0.25">
      <c r="A498" s="23" t="s">
        <v>424</v>
      </c>
      <c r="B498" s="24"/>
      <c r="C498" s="24"/>
      <c r="D498" s="24"/>
      <c r="E498" s="24"/>
      <c r="F498" s="24"/>
      <c r="G498" s="25"/>
      <c r="H498" s="26"/>
      <c r="I498" s="27"/>
      <c r="J498" s="80">
        <f>SUM(J496:K497)</f>
        <v>83.76</v>
      </c>
      <c r="K498" s="81"/>
    </row>
    <row r="499" spans="1:14" ht="15" customHeight="1" x14ac:dyDescent="0.25">
      <c r="A499" s="3"/>
      <c r="B499" s="3"/>
      <c r="C499" s="3"/>
      <c r="D499" s="3"/>
      <c r="E499" s="3"/>
      <c r="F499" s="3"/>
      <c r="G499" s="3"/>
      <c r="H499" s="3"/>
      <c r="I499" s="3"/>
      <c r="J499" s="3"/>
      <c r="K499" s="3"/>
    </row>
    <row r="500" spans="1:14" ht="15" customHeight="1" x14ac:dyDescent="0.25">
      <c r="A500" s="10" t="s">
        <v>295</v>
      </c>
      <c r="B500" s="10" t="s">
        <v>31</v>
      </c>
      <c r="C500" s="82" t="s">
        <v>7</v>
      </c>
      <c r="D500" s="83"/>
      <c r="E500" s="83"/>
      <c r="F500" s="83"/>
      <c r="G500" s="6" t="s">
        <v>32</v>
      </c>
      <c r="H500" s="6" t="s">
        <v>296</v>
      </c>
      <c r="I500" s="6" t="s">
        <v>297</v>
      </c>
      <c r="J500" s="57" t="s">
        <v>9</v>
      </c>
      <c r="K500" s="58"/>
    </row>
    <row r="501" spans="1:14" ht="30" customHeight="1" x14ac:dyDescent="0.25">
      <c r="A501" s="6" t="s">
        <v>11</v>
      </c>
      <c r="B501" s="6" t="s">
        <v>425</v>
      </c>
      <c r="C501" s="91" t="str">
        <f>VLOOKUP(B501,S!$A:$D,2,FALSE)</f>
        <v>PONTO DE ESGOTO COM TUBO DE PVC RÍGIDO SOLDÁVEL DE Ø 100 MM (VASO SANITÁRIO)</v>
      </c>
      <c r="D501" s="91"/>
      <c r="E501" s="91"/>
      <c r="F501" s="92"/>
      <c r="G501" s="6" t="str">
        <f>VLOOKUP(B501,S!$A:$D,3,FALSE)</f>
        <v>PT</v>
      </c>
      <c r="H501" s="21"/>
      <c r="I501" s="21">
        <f>J509</f>
        <v>104.38</v>
      </c>
      <c r="J501" s="76"/>
      <c r="K501" s="72"/>
      <c r="L501" s="21">
        <f>VLOOKUP(B501,S!$A:$D,4,FALSE)</f>
        <v>114.24</v>
      </c>
      <c r="M501" s="6" t="str">
        <f>IF(ROUND((L501-I501),2)=0,"OK, confere com a tabela.",IF(ROUND((L501-I501),2)&lt;0,"ACIMA ("&amp;TEXT(ROUND(I501*100/L501,4),"0,0000")&amp;" %) da tabela.","ABAIXO ("&amp;TEXT(ROUND(I501*100/L501,4),"0,0000")&amp;" %) da tabela."))</f>
        <v>ABAIXO (91,3690 %) da tabela.</v>
      </c>
    </row>
    <row r="502" spans="1:14" ht="15" customHeight="1" x14ac:dyDescent="0.25">
      <c r="A502" s="16" t="s">
        <v>306</v>
      </c>
      <c r="B502" s="16" t="s">
        <v>421</v>
      </c>
      <c r="C502" s="77" t="str">
        <f>VLOOKUP(B502,IF(A502="COMPOSICAO",S!$A:$D,I!$A:$D),2,FALSE)</f>
        <v>ADESIVO PVC EM FRASCO DE 850 GRAMAS</v>
      </c>
      <c r="D502" s="77"/>
      <c r="E502" s="77"/>
      <c r="F502" s="77"/>
      <c r="G502" s="16" t="str">
        <f>VLOOKUP(B502,IF(A502="COMPOSICAO",S!$A:$D,I!$A:$D),3,FALSE)</f>
        <v>KG</v>
      </c>
      <c r="H502" s="22">
        <f>0.015</f>
        <v>1.4999999999999999E-2</v>
      </c>
      <c r="I502" s="17">
        <f>IF(A502="COMPOSICAO",VLOOKUP("TOTAL - "&amp;B502,COMPOSICAO_AUX_1!$A:$J,10,FALSE),VLOOKUP(B502,I!$A:$D,4,FALSE))</f>
        <v>85.01</v>
      </c>
      <c r="J502" s="80">
        <f t="shared" ref="J502:J508" si="22">TRUNC(H502*I502,2)</f>
        <v>1.27</v>
      </c>
      <c r="K502" s="81"/>
      <c r="L502" s="3"/>
      <c r="M502" s="3"/>
      <c r="N502" s="3"/>
    </row>
    <row r="503" spans="1:14" ht="15" customHeight="1" x14ac:dyDescent="0.25">
      <c r="A503" s="16" t="s">
        <v>306</v>
      </c>
      <c r="B503" s="20">
        <v>13</v>
      </c>
      <c r="C503" s="77" t="str">
        <f>VLOOKUP(B503,IF(A503="COMPOSICAO",S!$A:$D,I!$A:$D),2,FALSE)</f>
        <v>ESTOPA</v>
      </c>
      <c r="D503" s="77"/>
      <c r="E503" s="77"/>
      <c r="F503" s="77"/>
      <c r="G503" s="16" t="str">
        <f>VLOOKUP(B503,IF(A503="COMPOSICAO",S!$A:$D,I!$A:$D),3,FALSE)</f>
        <v>KG</v>
      </c>
      <c r="H503" s="22">
        <f>0.05</f>
        <v>0.05</v>
      </c>
      <c r="I503" s="17">
        <f>IF(A503="COMPOSICAO",VLOOKUP("TOTAL - "&amp;B503,COMPOSICAO_AUX_1!$A:$J,10,FALSE),VLOOKUP(B503,I!$A:$D,4,FALSE))</f>
        <v>15.09</v>
      </c>
      <c r="J503" s="80">
        <f t="shared" si="22"/>
        <v>0.75</v>
      </c>
      <c r="K503" s="81"/>
      <c r="L503" s="3"/>
      <c r="M503" s="3"/>
      <c r="N503" s="3"/>
    </row>
    <row r="504" spans="1:14" ht="15" customHeight="1" x14ac:dyDescent="0.25">
      <c r="A504" s="16" t="s">
        <v>302</v>
      </c>
      <c r="B504" s="20">
        <v>88267</v>
      </c>
      <c r="C504" s="77" t="str">
        <f>VLOOKUP(B504,IF(A504="COMPOSICAO",S!$A:$D,I!$A:$D),2,FALSE)</f>
        <v>ENCANADOR OU BOMBEIRO HIDRÁULICO COM ENCARGOS COMPLEMENTARES</v>
      </c>
      <c r="D504" s="77"/>
      <c r="E504" s="77"/>
      <c r="F504" s="77"/>
      <c r="G504" s="16" t="str">
        <f>VLOOKUP(B504,IF(A504="COMPOSICAO",S!$A:$D,I!$A:$D),3,FALSE)</f>
        <v>H</v>
      </c>
      <c r="H504" s="22">
        <f>0.4</f>
        <v>0.4</v>
      </c>
      <c r="I504" s="17">
        <f>IF(A504="COMPOSICAO",VLOOKUP("TOTAL - "&amp;B504,COMPOSICAO_AUX_1!$A:$J,10,FALSE),VLOOKUP(B504,I!$A:$D,4,FALSE))</f>
        <v>19.37</v>
      </c>
      <c r="J504" s="80">
        <f t="shared" si="22"/>
        <v>7.74</v>
      </c>
      <c r="K504" s="81"/>
      <c r="L504" s="3"/>
      <c r="M504" s="3"/>
      <c r="N504" s="3"/>
    </row>
    <row r="505" spans="1:14" ht="30" customHeight="1" x14ac:dyDescent="0.25">
      <c r="A505" s="16" t="s">
        <v>306</v>
      </c>
      <c r="B505" s="20">
        <v>3520</v>
      </c>
      <c r="C505" s="77" t="str">
        <f>VLOOKUP(B505,IF(A505="COMPOSICAO",S!$A:$D,I!$A:$D),2,FALSE)</f>
        <v>JOELHO PVC, SOLDAVEL, PB, 90 GRAUS, DN 100 MM, PARA ESGOTO PREDIAL</v>
      </c>
      <c r="D505" s="77"/>
      <c r="E505" s="77"/>
      <c r="F505" s="77"/>
      <c r="G505" s="16" t="str">
        <f>VLOOKUP(B505,IF(A505="COMPOSICAO",S!$A:$D,I!$A:$D),3,FALSE)</f>
        <v>UN</v>
      </c>
      <c r="H505" s="22">
        <f>2</f>
        <v>2</v>
      </c>
      <c r="I505" s="17">
        <f>IF(A505="COMPOSICAO",VLOOKUP("TOTAL - "&amp;B505,COMPOSICAO_AUX_1!$A:$J,10,FALSE),VLOOKUP(B505,I!$A:$D,4,FALSE))</f>
        <v>7.95</v>
      </c>
      <c r="J505" s="80">
        <f t="shared" si="22"/>
        <v>15.9</v>
      </c>
      <c r="K505" s="81"/>
      <c r="L505" s="3"/>
      <c r="M505" s="3"/>
      <c r="N505" s="3"/>
    </row>
    <row r="506" spans="1:14" ht="15" customHeight="1" x14ac:dyDescent="0.25">
      <c r="A506" s="16" t="s">
        <v>302</v>
      </c>
      <c r="B506" s="20">
        <v>88316</v>
      </c>
      <c r="C506" s="77" t="str">
        <f>VLOOKUP(B506,IF(A506="COMPOSICAO",S!$A:$D,I!$A:$D),2,FALSE)</f>
        <v>SERVENTE COM ENCARGOS COMPLEMENTARES</v>
      </c>
      <c r="D506" s="77"/>
      <c r="E506" s="77"/>
      <c r="F506" s="77"/>
      <c r="G506" s="16" t="str">
        <f>VLOOKUP(B506,IF(A506="COMPOSICAO",S!$A:$D,I!$A:$D),3,FALSE)</f>
        <v>H</v>
      </c>
      <c r="H506" s="22">
        <f>0.4</f>
        <v>0.4</v>
      </c>
      <c r="I506" s="17">
        <f>IF(A506="COMPOSICAO",VLOOKUP("TOTAL - "&amp;B506,COMPOSICAO_AUX_1!$A:$J,10,FALSE),VLOOKUP(B506,I!$A:$D,4,FALSE))</f>
        <v>15.35</v>
      </c>
      <c r="J506" s="80">
        <f t="shared" si="22"/>
        <v>6.14</v>
      </c>
      <c r="K506" s="81"/>
      <c r="L506" s="3"/>
      <c r="M506" s="3"/>
      <c r="N506" s="3"/>
    </row>
    <row r="507" spans="1:14" ht="30" customHeight="1" x14ac:dyDescent="0.25">
      <c r="A507" s="16" t="s">
        <v>306</v>
      </c>
      <c r="B507" s="20">
        <v>9836</v>
      </c>
      <c r="C507" s="77" t="str">
        <f>VLOOKUP(B507,IF(A507="COMPOSICAO",S!$A:$D,I!$A:$D),2,FALSE)</f>
        <v>TUBO PVC  SERIE NORMAL, DN 100 MM, PARA ESGOTO  PREDIAL (NBR 5688)</v>
      </c>
      <c r="D507" s="77"/>
      <c r="E507" s="77"/>
      <c r="F507" s="77"/>
      <c r="G507" s="16" t="str">
        <f>VLOOKUP(B507,IF(A507="COMPOSICAO",S!$A:$D,I!$A:$D),3,FALSE)</f>
        <v>M</v>
      </c>
      <c r="H507" s="22">
        <f>4</f>
        <v>4</v>
      </c>
      <c r="I507" s="17">
        <f>IF(A507="COMPOSICAO",VLOOKUP("TOTAL - "&amp;B507,COMPOSICAO_AUX_1!$A:$J,10,FALSE),VLOOKUP(B507,I!$A:$D,4,FALSE))</f>
        <v>13.98</v>
      </c>
      <c r="J507" s="80">
        <f t="shared" si="22"/>
        <v>55.92</v>
      </c>
      <c r="K507" s="81"/>
      <c r="L507" s="3"/>
      <c r="M507" s="3"/>
      <c r="N507" s="3"/>
    </row>
    <row r="508" spans="1:14" ht="30" customHeight="1" x14ac:dyDescent="0.25">
      <c r="A508" s="16" t="s">
        <v>306</v>
      </c>
      <c r="B508" s="20">
        <v>10908</v>
      </c>
      <c r="C508" s="77" t="str">
        <f>VLOOKUP(B508,IF(A508="COMPOSICAO",S!$A:$D,I!$A:$D),2,FALSE)</f>
        <v>JUNCAO DE REDUCAO INVERTIDA, PVC SOLDAVEL, 100 X 50 MM, SERIE NORMAL PARA ESGOTO PREDIAL</v>
      </c>
      <c r="D508" s="77"/>
      <c r="E508" s="77"/>
      <c r="F508" s="77"/>
      <c r="G508" s="16" t="str">
        <f>VLOOKUP(B508,IF(A508="COMPOSICAO",S!$A:$D,I!$A:$D),3,FALSE)</f>
        <v>UN</v>
      </c>
      <c r="H508" s="22">
        <f>1</f>
        <v>1</v>
      </c>
      <c r="I508" s="17">
        <f>IF(A508="COMPOSICAO",VLOOKUP("TOTAL - "&amp;B508,COMPOSICAO_AUX_1!$A:$J,10,FALSE),VLOOKUP(B508,I!$A:$D,4,FALSE))</f>
        <v>16.66</v>
      </c>
      <c r="J508" s="80">
        <f t="shared" si="22"/>
        <v>16.66</v>
      </c>
      <c r="K508" s="81"/>
      <c r="L508" s="3"/>
      <c r="M508" s="3"/>
      <c r="N508" s="3"/>
    </row>
    <row r="509" spans="1:14" ht="15" customHeight="1" x14ac:dyDescent="0.25">
      <c r="A509" s="23" t="s">
        <v>303</v>
      </c>
      <c r="B509" s="24"/>
      <c r="C509" s="24"/>
      <c r="D509" s="24"/>
      <c r="E509" s="24"/>
      <c r="F509" s="24"/>
      <c r="G509" s="25"/>
      <c r="H509" s="26"/>
      <c r="I509" s="27"/>
      <c r="J509" s="80">
        <f>SUM(J501:K508)</f>
        <v>104.38</v>
      </c>
      <c r="K509" s="81"/>
    </row>
    <row r="510" spans="1:14" ht="15" customHeight="1" x14ac:dyDescent="0.25">
      <c r="A510" s="23" t="str">
        <f>"TAXA DE BDI ("&amp;BDI&amp;" %)"</f>
        <v>TAXA DE BDI (20,8 %)</v>
      </c>
      <c r="B510" s="24"/>
      <c r="C510" s="24"/>
      <c r="D510" s="24"/>
      <c r="E510" s="24"/>
      <c r="F510" s="24"/>
      <c r="G510" s="25"/>
      <c r="H510" s="26"/>
      <c r="I510" s="27"/>
      <c r="J510" s="80">
        <f>ROUND(J509*(BDI/100),2)</f>
        <v>21.71</v>
      </c>
      <c r="K510" s="81"/>
    </row>
    <row r="511" spans="1:14" ht="15" customHeight="1" x14ac:dyDescent="0.25">
      <c r="A511" s="23" t="s">
        <v>426</v>
      </c>
      <c r="B511" s="24"/>
      <c r="C511" s="24"/>
      <c r="D511" s="24"/>
      <c r="E511" s="24"/>
      <c r="F511" s="24"/>
      <c r="G511" s="25"/>
      <c r="H511" s="26"/>
      <c r="I511" s="27"/>
      <c r="J511" s="80">
        <f>SUM(J509:K510)</f>
        <v>126.09</v>
      </c>
      <c r="K511" s="81"/>
    </row>
    <row r="512" spans="1:14" ht="15" customHeight="1" x14ac:dyDescent="0.25">
      <c r="A512" s="3"/>
      <c r="B512" s="3"/>
      <c r="C512" s="3"/>
      <c r="D512" s="3"/>
      <c r="E512" s="3"/>
      <c r="F512" s="3"/>
      <c r="G512" s="3"/>
      <c r="H512" s="3"/>
      <c r="I512" s="3"/>
      <c r="J512" s="3"/>
      <c r="K512" s="3"/>
    </row>
    <row r="513" spans="1:14" ht="15" customHeight="1" x14ac:dyDescent="0.25">
      <c r="A513" s="10" t="s">
        <v>295</v>
      </c>
      <c r="B513" s="10" t="s">
        <v>31</v>
      </c>
      <c r="C513" s="82" t="s">
        <v>7</v>
      </c>
      <c r="D513" s="83"/>
      <c r="E513" s="83"/>
      <c r="F513" s="83"/>
      <c r="G513" s="6" t="s">
        <v>32</v>
      </c>
      <c r="H513" s="6" t="s">
        <v>296</v>
      </c>
      <c r="I513" s="6" t="s">
        <v>297</v>
      </c>
      <c r="J513" s="57" t="s">
        <v>9</v>
      </c>
      <c r="K513" s="58"/>
    </row>
    <row r="514" spans="1:14" ht="45" customHeight="1" x14ac:dyDescent="0.25">
      <c r="A514" s="6" t="s">
        <v>11</v>
      </c>
      <c r="B514" s="6" t="s">
        <v>427</v>
      </c>
      <c r="C514" s="91" t="str">
        <f>VLOOKUP(B514,S!$A:$D,2,FALSE)</f>
        <v>RALO SIFONADO EM PVC D = 100 MM ALTURA REGULÁVEL, SAÍDA 40 MM, COM GRELHA REDONDA ACABAMENTO CROMADO</v>
      </c>
      <c r="D514" s="91"/>
      <c r="E514" s="91"/>
      <c r="F514" s="92"/>
      <c r="G514" s="6" t="str">
        <f>VLOOKUP(B514,S!$A:$D,3,FALSE)</f>
        <v>UN</v>
      </c>
      <c r="H514" s="21"/>
      <c r="I514" s="21">
        <f>J518</f>
        <v>32.200000000000003</v>
      </c>
      <c r="J514" s="76"/>
      <c r="K514" s="72"/>
      <c r="L514" s="21">
        <f>VLOOKUP(B514,S!$A:$D,4,FALSE)</f>
        <v>30.08</v>
      </c>
      <c r="M514" s="6" t="str">
        <f>IF(ROUND((L514-I514),2)=0,"OK, confere com a tabela.",IF(ROUND((L514-I514),2)&lt;0,"ACIMA ("&amp;TEXT(ROUND(I514*100/L514,4),"0,0000")&amp;" %) da tabela.","ABAIXO ("&amp;TEXT(ROUND(I514*100/L514,4),"0,0000")&amp;" %) da tabela."))</f>
        <v>ACIMA (107,0479 %) da tabela.</v>
      </c>
    </row>
    <row r="515" spans="1:14" ht="45" customHeight="1" x14ac:dyDescent="0.25">
      <c r="A515" s="16" t="s">
        <v>306</v>
      </c>
      <c r="B515" s="16" t="s">
        <v>428</v>
      </c>
      <c r="C515" s="77" t="str">
        <f>VLOOKUP(B515,IF(A515="COMPOSICAO",S!$A:$D,I!$A:$D),2,FALSE)</f>
        <v>RALO SIFONADO PVC, QUADRADO, D = 100 X 52 X 40MM,  REF.Nº20, ACABAMENTO ALUMÍNIO, MARCA AKROS OU SIMILAR</v>
      </c>
      <c r="D515" s="77"/>
      <c r="E515" s="77"/>
      <c r="F515" s="77"/>
      <c r="G515" s="16" t="str">
        <f>VLOOKUP(B515,IF(A515="COMPOSICAO",S!$A:$D,I!$A:$D),3,FALSE)</f>
        <v>UN</v>
      </c>
      <c r="H515" s="22">
        <f>1</f>
        <v>1</v>
      </c>
      <c r="I515" s="17">
        <f>IF(A515="COMPOSICAO",VLOOKUP("TOTAL - "&amp;B515,COMPOSICAO_AUX_1!$A:$J,10,FALSE),VLOOKUP(B515,I!$A:$D,4,FALSE))</f>
        <v>14.85</v>
      </c>
      <c r="J515" s="80">
        <f>TRUNC(H515*I515,2)</f>
        <v>14.85</v>
      </c>
      <c r="K515" s="81"/>
      <c r="L515" s="3"/>
      <c r="M515" s="3"/>
      <c r="N515" s="3"/>
    </row>
    <row r="516" spans="1:14" ht="15" customHeight="1" x14ac:dyDescent="0.25">
      <c r="A516" s="16" t="s">
        <v>302</v>
      </c>
      <c r="B516" s="20">
        <v>88267</v>
      </c>
      <c r="C516" s="77" t="str">
        <f>VLOOKUP(B516,IF(A516="COMPOSICAO",S!$A:$D,I!$A:$D),2,FALSE)</f>
        <v>ENCANADOR OU BOMBEIRO HIDRÁULICO COM ENCARGOS COMPLEMENTARES</v>
      </c>
      <c r="D516" s="77"/>
      <c r="E516" s="77"/>
      <c r="F516" s="77"/>
      <c r="G516" s="16" t="str">
        <f>VLOOKUP(B516,IF(A516="COMPOSICAO",S!$A:$D,I!$A:$D),3,FALSE)</f>
        <v>H</v>
      </c>
      <c r="H516" s="22">
        <f>0.5</f>
        <v>0.5</v>
      </c>
      <c r="I516" s="17">
        <f>IF(A516="COMPOSICAO",VLOOKUP("TOTAL - "&amp;B516,COMPOSICAO_AUX_1!$A:$J,10,FALSE),VLOOKUP(B516,I!$A:$D,4,FALSE))</f>
        <v>19.37</v>
      </c>
      <c r="J516" s="80">
        <f>TRUNC(H516*I516,2)</f>
        <v>9.68</v>
      </c>
      <c r="K516" s="81"/>
      <c r="L516" s="3"/>
      <c r="M516" s="3"/>
      <c r="N516" s="3"/>
    </row>
    <row r="517" spans="1:14" ht="15" customHeight="1" x14ac:dyDescent="0.25">
      <c r="A517" s="16" t="s">
        <v>302</v>
      </c>
      <c r="B517" s="20">
        <v>88316</v>
      </c>
      <c r="C517" s="77" t="str">
        <f>VLOOKUP(B517,IF(A517="COMPOSICAO",S!$A:$D,I!$A:$D),2,FALSE)</f>
        <v>SERVENTE COM ENCARGOS COMPLEMENTARES</v>
      </c>
      <c r="D517" s="77"/>
      <c r="E517" s="77"/>
      <c r="F517" s="77"/>
      <c r="G517" s="16" t="str">
        <f>VLOOKUP(B517,IF(A517="COMPOSICAO",S!$A:$D,I!$A:$D),3,FALSE)</f>
        <v>H</v>
      </c>
      <c r="H517" s="22">
        <f>0.5</f>
        <v>0.5</v>
      </c>
      <c r="I517" s="17">
        <f>IF(A517="COMPOSICAO",VLOOKUP("TOTAL - "&amp;B517,COMPOSICAO_AUX_1!$A:$J,10,FALSE),VLOOKUP(B517,I!$A:$D,4,FALSE))</f>
        <v>15.35</v>
      </c>
      <c r="J517" s="80">
        <f>TRUNC(H517*I517,2)</f>
        <v>7.67</v>
      </c>
      <c r="K517" s="81"/>
      <c r="L517" s="3"/>
      <c r="M517" s="3"/>
      <c r="N517" s="3"/>
    </row>
    <row r="518" spans="1:14" ht="15" customHeight="1" x14ac:dyDescent="0.25">
      <c r="A518" s="23" t="s">
        <v>303</v>
      </c>
      <c r="B518" s="24"/>
      <c r="C518" s="24"/>
      <c r="D518" s="24"/>
      <c r="E518" s="24"/>
      <c r="F518" s="24"/>
      <c r="G518" s="25"/>
      <c r="H518" s="26"/>
      <c r="I518" s="27"/>
      <c r="J518" s="80">
        <f>SUM(J514:K517)</f>
        <v>32.200000000000003</v>
      </c>
      <c r="K518" s="81"/>
    </row>
    <row r="519" spans="1:14" ht="15" customHeight="1" x14ac:dyDescent="0.25">
      <c r="A519" s="23" t="str">
        <f>"TAXA DE BDI ("&amp;BDI&amp;" %)"</f>
        <v>TAXA DE BDI (20,8 %)</v>
      </c>
      <c r="B519" s="24"/>
      <c r="C519" s="24"/>
      <c r="D519" s="24"/>
      <c r="E519" s="24"/>
      <c r="F519" s="24"/>
      <c r="G519" s="25"/>
      <c r="H519" s="26"/>
      <c r="I519" s="27"/>
      <c r="J519" s="80">
        <f>ROUND(J518*(BDI/100),2)</f>
        <v>6.7</v>
      </c>
      <c r="K519" s="81"/>
    </row>
    <row r="520" spans="1:14" ht="15" customHeight="1" x14ac:dyDescent="0.25">
      <c r="A520" s="23" t="s">
        <v>429</v>
      </c>
      <c r="B520" s="24"/>
      <c r="C520" s="24"/>
      <c r="D520" s="24"/>
      <c r="E520" s="24"/>
      <c r="F520" s="24"/>
      <c r="G520" s="25"/>
      <c r="H520" s="26"/>
      <c r="I520" s="27"/>
      <c r="J520" s="80">
        <f>SUM(J518:K519)</f>
        <v>38.900000000000006</v>
      </c>
      <c r="K520" s="81"/>
    </row>
    <row r="521" spans="1:14" ht="15" customHeight="1" x14ac:dyDescent="0.25">
      <c r="A521" s="3"/>
      <c r="B521" s="3"/>
      <c r="C521" s="3"/>
      <c r="D521" s="3"/>
      <c r="E521" s="3"/>
      <c r="F521" s="3"/>
      <c r="G521" s="3"/>
      <c r="H521" s="3"/>
      <c r="I521" s="3"/>
      <c r="J521" s="3"/>
      <c r="K521" s="3"/>
    </row>
    <row r="522" spans="1:14" ht="15" customHeight="1" x14ac:dyDescent="0.25">
      <c r="A522" s="10" t="s">
        <v>295</v>
      </c>
      <c r="B522" s="10" t="s">
        <v>31</v>
      </c>
      <c r="C522" s="82" t="s">
        <v>7</v>
      </c>
      <c r="D522" s="83"/>
      <c r="E522" s="83"/>
      <c r="F522" s="83"/>
      <c r="G522" s="6" t="s">
        <v>32</v>
      </c>
      <c r="H522" s="6" t="s">
        <v>296</v>
      </c>
      <c r="I522" s="6" t="s">
        <v>297</v>
      </c>
      <c r="J522" s="57" t="s">
        <v>9</v>
      </c>
      <c r="K522" s="58"/>
    </row>
    <row r="523" spans="1:14" ht="15" customHeight="1" x14ac:dyDescent="0.25">
      <c r="A523" s="6" t="s">
        <v>11</v>
      </c>
      <c r="B523" s="6" t="s">
        <v>430</v>
      </c>
      <c r="C523" s="91" t="str">
        <f>VLOOKUP(B523,S!$A:$D,2,FALSE)</f>
        <v>CAIXA DE INSPEÇÃO  0.60 X 0.60 X 0.60M</v>
      </c>
      <c r="D523" s="91"/>
      <c r="E523" s="91"/>
      <c r="F523" s="92"/>
      <c r="G523" s="6" t="str">
        <f>VLOOKUP(B523,S!$A:$D,3,FALSE)</f>
        <v>UN</v>
      </c>
      <c r="H523" s="21"/>
      <c r="I523" s="21">
        <f>J533</f>
        <v>504.68</v>
      </c>
      <c r="J523" s="76"/>
      <c r="K523" s="72"/>
      <c r="L523" s="21">
        <f>VLOOKUP(B523,S!$A:$D,4,FALSE)</f>
        <v>510.66</v>
      </c>
      <c r="M523" s="6" t="str">
        <f>IF(ROUND((L523-I523),2)=0,"OK, confere com a tabela.",IF(ROUND((L523-I523),2)&lt;0,"ACIMA ("&amp;TEXT(ROUND(I523*100/L523,4),"0,0000")&amp;" %) da tabela.","ABAIXO ("&amp;TEXT(ROUND(I523*100/L523,4),"0,0000")&amp;" %) da tabela."))</f>
        <v>ABAIXO (98,8290 %) da tabela.</v>
      </c>
    </row>
    <row r="524" spans="1:14" ht="45" customHeight="1" x14ac:dyDescent="0.25">
      <c r="A524" s="16" t="s">
        <v>302</v>
      </c>
      <c r="B524" s="16" t="s">
        <v>431</v>
      </c>
      <c r="C524" s="77" t="str">
        <f>VLOOKUP(B524,IF(A524="COMPOSICAO",S!$A:$D,I!$A:$D),2,FALSE)</f>
        <v>REATERRO MANUAL DE VALAS, COM COMPACTAÇÃO UTILIZANDO SÊPO, SEM CONTROLE DO GRAU DE COMPACTAÇÃO</v>
      </c>
      <c r="D524" s="77"/>
      <c r="E524" s="77"/>
      <c r="F524" s="77"/>
      <c r="G524" s="16" t="str">
        <f>VLOOKUP(B524,IF(A524="COMPOSICAO",S!$A:$D,I!$A:$D),3,FALSE)</f>
        <v>M3</v>
      </c>
      <c r="H524" s="22">
        <f>1.15</f>
        <v>1.1499999999999999</v>
      </c>
      <c r="I524" s="17">
        <f>IF(A524="COMPOSICAO",VLOOKUP("TOTAL - "&amp;B524,COMPOSICAO_AUX_1!$A:$J,10,FALSE),VLOOKUP(B524,I!$A:$D,4,FALSE))</f>
        <v>27.02</v>
      </c>
      <c r="J524" s="80">
        <f t="shared" ref="J524:J532" si="23">TRUNC(H524*I524,2)</f>
        <v>31.07</v>
      </c>
      <c r="K524" s="81"/>
      <c r="L524" s="3"/>
      <c r="M524" s="3"/>
      <c r="N524" s="3"/>
    </row>
    <row r="525" spans="1:14" ht="30" customHeight="1" x14ac:dyDescent="0.25">
      <c r="A525" s="16" t="s">
        <v>302</v>
      </c>
      <c r="B525" s="16" t="s">
        <v>432</v>
      </c>
      <c r="C525" s="77" t="str">
        <f>VLOOKUP(B525,IF(A525="COMPOSICAO",S!$A:$D,I!$A:$D),2,FALSE)</f>
        <v>FORMA PLANA PARA FUNDAÇÕES, EM COMPENSADO RESINADO 12MM, 02 USOS</v>
      </c>
      <c r="D525" s="77"/>
      <c r="E525" s="77"/>
      <c r="F525" s="77"/>
      <c r="G525" s="16" t="str">
        <f>VLOOKUP(B525,IF(A525="COMPOSICAO",S!$A:$D,I!$A:$D),3,FALSE)</f>
        <v>M2</v>
      </c>
      <c r="H525" s="22">
        <f>1.17</f>
        <v>1.17</v>
      </c>
      <c r="I525" s="17">
        <f>IF(A525="COMPOSICAO",VLOOKUP("TOTAL - "&amp;B525,COMPOSICAO_AUX_1!$A:$J,10,FALSE),VLOOKUP(B525,I!$A:$D,4,FALSE))</f>
        <v>94.34</v>
      </c>
      <c r="J525" s="80">
        <f t="shared" si="23"/>
        <v>110.37</v>
      </c>
      <c r="K525" s="81"/>
      <c r="L525" s="3"/>
      <c r="M525" s="3"/>
      <c r="N525" s="3"/>
    </row>
    <row r="526" spans="1:14" ht="30" customHeight="1" x14ac:dyDescent="0.25">
      <c r="A526" s="16" t="s">
        <v>302</v>
      </c>
      <c r="B526" s="16" t="s">
        <v>433</v>
      </c>
      <c r="C526" s="77" t="str">
        <f>VLOOKUP(B526,IF(A526="COMPOSICAO",S!$A:$D,I!$A:$D),2,FALSE)</f>
        <v>CONCRETO SIMPLES FABRICADO NA OBRA, FCK=13,5 MPA, LANÇADO E ADENSADO</v>
      </c>
      <c r="D526" s="77"/>
      <c r="E526" s="77"/>
      <c r="F526" s="77"/>
      <c r="G526" s="16" t="str">
        <f>VLOOKUP(B526,IF(A526="COMPOSICAO",S!$A:$D,I!$A:$D),3,FALSE)</f>
        <v>M3</v>
      </c>
      <c r="H526" s="22">
        <f>0.081</f>
        <v>8.1000000000000003E-2</v>
      </c>
      <c r="I526" s="17">
        <f>IF(A526="COMPOSICAO",VLOOKUP("TOTAL - "&amp;B526,COMPOSICAO_AUX_1!$A:$J,10,FALSE),VLOOKUP(B526,I!$A:$D,4,FALSE))</f>
        <v>424.89</v>
      </c>
      <c r="J526" s="80">
        <f t="shared" si="23"/>
        <v>34.409999999999997</v>
      </c>
      <c r="K526" s="81"/>
      <c r="L526" s="3"/>
      <c r="M526" s="3"/>
      <c r="N526" s="3"/>
    </row>
    <row r="527" spans="1:14" ht="30" customHeight="1" x14ac:dyDescent="0.25">
      <c r="A527" s="16" t="s">
        <v>302</v>
      </c>
      <c r="B527" s="16" t="s">
        <v>434</v>
      </c>
      <c r="C527" s="77" t="str">
        <f>VLOOKUP(B527,IF(A527="COMPOSICAO",S!$A:$D,I!$A:$D),2,FALSE)</f>
        <v>CONCRETO SIMPLES FABRICADO NA OBRA, FCK=15 MPA, LANÇADO E ADENSADO</v>
      </c>
      <c r="D527" s="77"/>
      <c r="E527" s="77"/>
      <c r="F527" s="77"/>
      <c r="G527" s="16" t="str">
        <f>VLOOKUP(B527,IF(A527="COMPOSICAO",S!$A:$D,I!$A:$D),3,FALSE)</f>
        <v>M3</v>
      </c>
      <c r="H527" s="22">
        <f>0.081</f>
        <v>8.1000000000000003E-2</v>
      </c>
      <c r="I527" s="17">
        <f>IF(A527="COMPOSICAO",VLOOKUP("TOTAL - "&amp;B527,COMPOSICAO_AUX_1!$A:$J,10,FALSE),VLOOKUP(B527,I!$A:$D,4,FALSE))</f>
        <v>449.89</v>
      </c>
      <c r="J527" s="80">
        <f t="shared" si="23"/>
        <v>36.44</v>
      </c>
      <c r="K527" s="81"/>
      <c r="L527" s="3"/>
      <c r="M527" s="3"/>
      <c r="N527" s="3"/>
    </row>
    <row r="528" spans="1:14" ht="60" customHeight="1" x14ac:dyDescent="0.25">
      <c r="A528" s="16" t="s">
        <v>302</v>
      </c>
      <c r="B528" s="16" t="s">
        <v>435</v>
      </c>
      <c r="C528" s="77" t="str">
        <f>VLOOKUP(B528,IF(A528="COMPOSICAO",S!$A:$D,I!$A:$D),2,FALSE)</f>
        <v>AÇO CA - 50 Ø 6,3 A 12,5MM, INCLUSIVE CORTE, DOBRAGEM, MONTAGEM E COLOCACAO DE FERRAGENS NAS FORMAS, PARA SUPERESTRUTURAS E FUNDAÇÕES - R1</v>
      </c>
      <c r="D528" s="77"/>
      <c r="E528" s="77"/>
      <c r="F528" s="77"/>
      <c r="G528" s="16" t="str">
        <f>VLOOKUP(B528,IF(A528="COMPOSICAO",S!$A:$D,I!$A:$D),3,FALSE)</f>
        <v>KG</v>
      </c>
      <c r="H528" s="22">
        <f>1.73</f>
        <v>1.73</v>
      </c>
      <c r="I528" s="17">
        <f>IF(A528="COMPOSICAO",VLOOKUP("TOTAL - "&amp;B528,COMPOSICAO_AUX_1!$A:$J,10,FALSE),VLOOKUP(B528,I!$A:$D,4,FALSE))</f>
        <v>14.66</v>
      </c>
      <c r="J528" s="80">
        <f t="shared" si="23"/>
        <v>25.36</v>
      </c>
      <c r="K528" s="81"/>
      <c r="L528" s="3"/>
      <c r="M528" s="3"/>
      <c r="N528" s="3"/>
    </row>
    <row r="529" spans="1:14" ht="60" customHeight="1" x14ac:dyDescent="0.25">
      <c r="A529" s="16" t="s">
        <v>302</v>
      </c>
      <c r="B529" s="16" t="s">
        <v>436</v>
      </c>
      <c r="C529" s="77" t="str">
        <f>VLOOKUP(B529,IF(A529="COMPOSICAO",S!$A:$D,I!$A:$D),2,FALSE)</f>
        <v>ALVENARIA TIJOLO CERÂMICO MACIÇO (5X9X19), ESP = 0,09M (SINGELA), COM ARGAMASSA TRAÇO T5 - 1:2:8 (CIMENTO / CAL / AREIA) C/ JUNTA DE 2,0CM - R1</v>
      </c>
      <c r="D529" s="77"/>
      <c r="E529" s="77"/>
      <c r="F529" s="77"/>
      <c r="G529" s="16" t="str">
        <f>VLOOKUP(B529,IF(A529="COMPOSICAO",S!$A:$D,I!$A:$D),3,FALSE)</f>
        <v>M2</v>
      </c>
      <c r="H529" s="22">
        <f>1.8</f>
        <v>1.8</v>
      </c>
      <c r="I529" s="17">
        <f>IF(A529="COMPOSICAO",VLOOKUP("TOTAL - "&amp;B529,COMPOSICAO_AUX_1!$A:$J,10,FALSE),VLOOKUP(B529,I!$A:$D,4,FALSE))</f>
        <v>76.84</v>
      </c>
      <c r="J529" s="80">
        <f t="shared" si="23"/>
        <v>138.31</v>
      </c>
      <c r="K529" s="81"/>
      <c r="L529" s="3"/>
      <c r="M529" s="3"/>
      <c r="N529" s="3"/>
    </row>
    <row r="530" spans="1:14" ht="45" customHeight="1" x14ac:dyDescent="0.25">
      <c r="A530" s="16" t="s">
        <v>302</v>
      </c>
      <c r="B530" s="16" t="s">
        <v>437</v>
      </c>
      <c r="C530" s="77" t="str">
        <f>VLOOKUP(B530,IF(A530="COMPOSICAO",S!$A:$D,I!$A:$D),2,FALSE)</f>
        <v>REBOCO OU EMBOÇO EXTERNO, DE PAREDE, COM ARGAMASSA TRAÇO T5 - 1:2:8 (CIMENTO / CAL / AREIA), ESPESSURA 2,0 CM</v>
      </c>
      <c r="D530" s="77"/>
      <c r="E530" s="77"/>
      <c r="F530" s="77"/>
      <c r="G530" s="16" t="str">
        <f>VLOOKUP(B530,IF(A530="COMPOSICAO",S!$A:$D,I!$A:$D),3,FALSE)</f>
        <v>M2</v>
      </c>
      <c r="H530" s="22">
        <f>1.71</f>
        <v>1.71</v>
      </c>
      <c r="I530" s="17">
        <f>IF(A530="COMPOSICAO",VLOOKUP("TOTAL - "&amp;B530,COMPOSICAO_AUX_1!$A:$J,10,FALSE),VLOOKUP(B530,I!$A:$D,4,FALSE))</f>
        <v>27.359999999999996</v>
      </c>
      <c r="J530" s="80">
        <f t="shared" si="23"/>
        <v>46.78</v>
      </c>
      <c r="K530" s="81"/>
      <c r="L530" s="3"/>
      <c r="M530" s="3"/>
      <c r="N530" s="3"/>
    </row>
    <row r="531" spans="1:14" ht="30" customHeight="1" x14ac:dyDescent="0.25">
      <c r="A531" s="16" t="s">
        <v>302</v>
      </c>
      <c r="B531" s="16" t="s">
        <v>317</v>
      </c>
      <c r="C531" s="77" t="str">
        <f>VLOOKUP(B531,IF(A531="COMPOSICAO",S!$A:$D,I!$A:$D),2,FALSE)</f>
        <v>ESCAVAÇÃO MANUAL DE VALA OU CAVA EM MATERIAL DE 1ª CATEGORIA, PROFUNDIDADE ATÉ 1,50M</v>
      </c>
      <c r="D531" s="77"/>
      <c r="E531" s="77"/>
      <c r="F531" s="77"/>
      <c r="G531" s="16" t="str">
        <f>VLOOKUP(B531,IF(A531="COMPOSICAO",S!$A:$D,I!$A:$D),3,FALSE)</f>
        <v>M3</v>
      </c>
      <c r="H531" s="22">
        <f>1.8</f>
        <v>1.8</v>
      </c>
      <c r="I531" s="17">
        <f>IF(A531="COMPOSICAO",VLOOKUP("TOTAL - "&amp;B531,COMPOSICAO_AUX_1!$A:$J,10,FALSE),VLOOKUP(B531,I!$A:$D,4,FALSE))</f>
        <v>40.53</v>
      </c>
      <c r="J531" s="80">
        <f t="shared" si="23"/>
        <v>72.95</v>
      </c>
      <c r="K531" s="81"/>
      <c r="L531" s="3"/>
      <c r="M531" s="3"/>
      <c r="N531" s="3"/>
    </row>
    <row r="532" spans="1:14" ht="30" customHeight="1" x14ac:dyDescent="0.25">
      <c r="A532" s="16" t="s">
        <v>302</v>
      </c>
      <c r="B532" s="16" t="s">
        <v>438</v>
      </c>
      <c r="C532" s="77" t="str">
        <f>VLOOKUP(B532,IF(A532="COMPOSICAO",S!$A:$D,I!$A:$D),2,FALSE)</f>
        <v>CHAPISCO EM PAREDE COM ARGAMASSA TRAÇO T1 - 1:3 (CIMENTO / AREIA) - REVISADO 08/2015</v>
      </c>
      <c r="D532" s="77"/>
      <c r="E532" s="77"/>
      <c r="F532" s="77"/>
      <c r="G532" s="16" t="str">
        <f>VLOOKUP(B532,IF(A532="COMPOSICAO",S!$A:$D,I!$A:$D),3,FALSE)</f>
        <v>M2</v>
      </c>
      <c r="H532" s="22">
        <f>1.71</f>
        <v>1.71</v>
      </c>
      <c r="I532" s="17">
        <f>IF(A532="COMPOSICAO",VLOOKUP("TOTAL - "&amp;B532,COMPOSICAO_AUX_1!$A:$J,10,FALSE),VLOOKUP(B532,I!$A:$D,4,FALSE))</f>
        <v>5.26</v>
      </c>
      <c r="J532" s="80">
        <f t="shared" si="23"/>
        <v>8.99</v>
      </c>
      <c r="K532" s="81"/>
      <c r="L532" s="3"/>
      <c r="M532" s="3"/>
      <c r="N532" s="3"/>
    </row>
    <row r="533" spans="1:14" ht="15" customHeight="1" x14ac:dyDescent="0.25">
      <c r="A533" s="23" t="s">
        <v>303</v>
      </c>
      <c r="B533" s="24"/>
      <c r="C533" s="24"/>
      <c r="D533" s="24"/>
      <c r="E533" s="24"/>
      <c r="F533" s="24"/>
      <c r="G533" s="25"/>
      <c r="H533" s="26"/>
      <c r="I533" s="27"/>
      <c r="J533" s="80">
        <f>SUM(J523:K532)</f>
        <v>504.68</v>
      </c>
      <c r="K533" s="81"/>
    </row>
    <row r="534" spans="1:14" ht="15" customHeight="1" x14ac:dyDescent="0.25">
      <c r="A534" s="23" t="str">
        <f>"TAXA DE BDI ("&amp;BDI&amp;" %)"</f>
        <v>TAXA DE BDI (20,8 %)</v>
      </c>
      <c r="B534" s="24"/>
      <c r="C534" s="24"/>
      <c r="D534" s="24"/>
      <c r="E534" s="24"/>
      <c r="F534" s="24"/>
      <c r="G534" s="25"/>
      <c r="H534" s="26"/>
      <c r="I534" s="27"/>
      <c r="J534" s="80">
        <f>ROUND(J533*(BDI/100),2)</f>
        <v>104.97</v>
      </c>
      <c r="K534" s="81"/>
    </row>
    <row r="535" spans="1:14" ht="15" customHeight="1" x14ac:dyDescent="0.25">
      <c r="A535" s="23" t="s">
        <v>439</v>
      </c>
      <c r="B535" s="24"/>
      <c r="C535" s="24"/>
      <c r="D535" s="24"/>
      <c r="E535" s="24"/>
      <c r="F535" s="24"/>
      <c r="G535" s="25"/>
      <c r="H535" s="26"/>
      <c r="I535" s="27"/>
      <c r="J535" s="80">
        <f>SUM(J533:K534)</f>
        <v>609.65</v>
      </c>
      <c r="K535" s="81"/>
    </row>
    <row r="536" spans="1:14" ht="15" customHeight="1" x14ac:dyDescent="0.25">
      <c r="A536" s="3"/>
      <c r="B536" s="3"/>
      <c r="C536" s="3"/>
      <c r="D536" s="3"/>
      <c r="E536" s="3"/>
      <c r="F536" s="3"/>
      <c r="G536" s="3"/>
      <c r="H536" s="3"/>
      <c r="I536" s="3"/>
      <c r="J536" s="3"/>
      <c r="K536" s="3"/>
    </row>
    <row r="537" spans="1:14" ht="15" customHeight="1" x14ac:dyDescent="0.25">
      <c r="A537" s="10" t="s">
        <v>295</v>
      </c>
      <c r="B537" s="10" t="s">
        <v>31</v>
      </c>
      <c r="C537" s="82" t="s">
        <v>7</v>
      </c>
      <c r="D537" s="83"/>
      <c r="E537" s="83"/>
      <c r="F537" s="83"/>
      <c r="G537" s="6" t="s">
        <v>32</v>
      </c>
      <c r="H537" s="6" t="s">
        <v>296</v>
      </c>
      <c r="I537" s="6" t="s">
        <v>297</v>
      </c>
      <c r="J537" s="57" t="s">
        <v>9</v>
      </c>
      <c r="K537" s="58"/>
    </row>
    <row r="538" spans="1:14" ht="90" customHeight="1" x14ac:dyDescent="0.25">
      <c r="A538" s="6" t="s">
        <v>413</v>
      </c>
      <c r="B538" s="28">
        <v>91795</v>
      </c>
      <c r="C538" s="91" t="str">
        <f>VLOOKUP(B538,S!$A:$D,2,FALSE)</f>
        <v>(COMPOSIÇÃO REPRESENTATIVA) DO SERVIÇO DE INST. TUBO PVC, SÉRIE N, ESGOTO PREDIAL, 100 MM (INST. RAMAL DESCARGA, RAMAL DE ESG. SANIT., PRUMADA ESG. SANIT., VENTILAÇÃO OU SUB-COLETOR AÉREO), INCL. CONEXÕES E CORTES, FIXAÇÕES, P/ PRÉDIOS. AF_10/2015</v>
      </c>
      <c r="D538" s="91"/>
      <c r="E538" s="91"/>
      <c r="F538" s="92"/>
      <c r="G538" s="6" t="str">
        <f>VLOOKUP(B538,S!$A:$D,3,FALSE)</f>
        <v>M</v>
      </c>
      <c r="H538" s="21"/>
      <c r="I538" s="21">
        <f>J558</f>
        <v>58.63</v>
      </c>
      <c r="J538" s="76"/>
      <c r="K538" s="72"/>
      <c r="L538" s="21">
        <f>VLOOKUP(B538,S!$A:$D,4,FALSE)</f>
        <v>58.63</v>
      </c>
      <c r="M538" s="6" t="str">
        <f>IF(ROUND((L538-I538),2)=0,"OK, confere com a tabela.",IF(ROUND((L538-I538),2)&lt;0,"ACIMA ("&amp;TEXT(ROUND(I538*100/L538,4),"0,0000")&amp;" %) da tabela.","ABAIXO ("&amp;TEXT(ROUND(I538*100/L538,4),"0,0000")&amp;" %) da tabela."))</f>
        <v>OK, confere com a tabela.</v>
      </c>
    </row>
    <row r="539" spans="1:14" ht="45" customHeight="1" x14ac:dyDescent="0.25">
      <c r="A539" s="16" t="s">
        <v>302</v>
      </c>
      <c r="B539" s="20">
        <v>89714</v>
      </c>
      <c r="C539" s="77" t="str">
        <f>VLOOKUP(B539,IF(A539="COMPOSICAO",S!$A:$D,I!$A:$D),2,FALSE)</f>
        <v>TUBO PVC, SERIE NORMAL, ESGOTO PREDIAL, DN 100 MM, FORNECIDO E INSTALADO EM RAMAL DE DESCARGA OU RAMAL DE ESGOTO SANITÁRIO. AF_12/2014</v>
      </c>
      <c r="D539" s="77"/>
      <c r="E539" s="77"/>
      <c r="F539" s="77"/>
      <c r="G539" s="16" t="str">
        <f>VLOOKUP(B539,IF(A539="COMPOSICAO",S!$A:$D,I!$A:$D),3,FALSE)</f>
        <v>M</v>
      </c>
      <c r="H539" s="22">
        <f>0.1846</f>
        <v>0.18459999999999999</v>
      </c>
      <c r="I539" s="17">
        <f>IF(A539="COMPOSICAO",VLOOKUP("TOTAL - "&amp;B539,COMPOSICAO_AUX_1!$A:$J,10,FALSE),VLOOKUP(B539,I!$A:$D,4,FALSE))</f>
        <v>46.31</v>
      </c>
      <c r="J539" s="80">
        <f t="shared" ref="J539:J557" si="24">TRUNC(H539*I539,2)</f>
        <v>8.5399999999999991</v>
      </c>
      <c r="K539" s="81"/>
      <c r="L539" s="3"/>
      <c r="M539" s="3"/>
      <c r="N539" s="3"/>
    </row>
    <row r="540" spans="1:14" ht="60" customHeight="1" x14ac:dyDescent="0.25">
      <c r="A540" s="16" t="s">
        <v>302</v>
      </c>
      <c r="B540" s="20">
        <v>89746</v>
      </c>
      <c r="C540" s="77" t="str">
        <f>VLOOKUP(B540,IF(A540="COMPOSICAO",S!$A:$D,I!$A:$D),2,FALSE)</f>
        <v>JOELHO 45 GRAUS, PVC, SERIE NORMAL, ESGOTO PREDIAL, DN 100 MM, JUNTA ELÁSTICA, FORNECIDO E INSTALADO EM RAMAL DE DESCARGA OU RAMAL DE ESGOTO SANITÁRIO. AF_12/2014</v>
      </c>
      <c r="D540" s="77"/>
      <c r="E540" s="77"/>
      <c r="F540" s="77"/>
      <c r="G540" s="16" t="str">
        <f>VLOOKUP(B540,IF(A540="COMPOSICAO",S!$A:$D,I!$A:$D),3,FALSE)</f>
        <v>UN</v>
      </c>
      <c r="H540" s="22">
        <f>0.0653</f>
        <v>6.5299999999999997E-2</v>
      </c>
      <c r="I540" s="17">
        <f>IF(A540="COMPOSICAO",VLOOKUP("TOTAL - "&amp;B540,COMPOSICAO_AUX_1!$A:$J,10,FALSE),VLOOKUP(B540,I!$A:$D,4,FALSE))</f>
        <v>21.029999999999998</v>
      </c>
      <c r="J540" s="80">
        <f t="shared" si="24"/>
        <v>1.37</v>
      </c>
      <c r="K540" s="81"/>
      <c r="L540" s="3"/>
      <c r="M540" s="3"/>
      <c r="N540" s="3"/>
    </row>
    <row r="541" spans="1:14" ht="60" customHeight="1" x14ac:dyDescent="0.25">
      <c r="A541" s="16" t="s">
        <v>302</v>
      </c>
      <c r="B541" s="20">
        <v>89748</v>
      </c>
      <c r="C541" s="77" t="str">
        <f>VLOOKUP(B541,IF(A541="COMPOSICAO",S!$A:$D,I!$A:$D),2,FALSE)</f>
        <v>CURVA CURTA 90 GRAUS, PVC, SERIE NORMAL, ESGOTO PREDIAL, DN 100 MM, JUNTA ELÁSTICA, FORNECIDO E INSTALADO EM RAMAL DE DESCARGA OU RAMAL DE ESGOTO SANITÁRIO. AF_12/2014</v>
      </c>
      <c r="D541" s="77"/>
      <c r="E541" s="77"/>
      <c r="F541" s="77"/>
      <c r="G541" s="16" t="str">
        <f>VLOOKUP(B541,IF(A541="COMPOSICAO",S!$A:$D,I!$A:$D),3,FALSE)</f>
        <v>UN</v>
      </c>
      <c r="H541" s="22">
        <f>0.2122</f>
        <v>0.2122</v>
      </c>
      <c r="I541" s="17">
        <f>IF(A541="COMPOSICAO",VLOOKUP("TOTAL - "&amp;B541,COMPOSICAO_AUX_1!$A:$J,10,FALSE),VLOOKUP(B541,I!$A:$D,4,FALSE))</f>
        <v>34.180000000000007</v>
      </c>
      <c r="J541" s="80">
        <f t="shared" si="24"/>
        <v>7.25</v>
      </c>
      <c r="K541" s="81"/>
      <c r="L541" s="3"/>
      <c r="M541" s="3"/>
      <c r="N541" s="3"/>
    </row>
    <row r="542" spans="1:14" ht="60" customHeight="1" x14ac:dyDescent="0.25">
      <c r="A542" s="16" t="s">
        <v>302</v>
      </c>
      <c r="B542" s="20">
        <v>89778</v>
      </c>
      <c r="C542" s="77" t="str">
        <f>VLOOKUP(B542,IF(A542="COMPOSICAO",S!$A:$D,I!$A:$D),2,FALSE)</f>
        <v>LUVA SIMPLES, PVC, SERIE NORMAL, ESGOTO PREDIAL, DN 100 MM, JUNTA ELÁSTICA, FORNECIDO E INSTALADO EM RAMAL DE DESCARGA OU RAMAL DE ESGOTO SANITÁRIO. AF_12/2014</v>
      </c>
      <c r="D542" s="77"/>
      <c r="E542" s="77"/>
      <c r="F542" s="77"/>
      <c r="G542" s="16" t="str">
        <f>VLOOKUP(B542,IF(A542="COMPOSICAO",S!$A:$D,I!$A:$D),3,FALSE)</f>
        <v>UN</v>
      </c>
      <c r="H542" s="22">
        <f>0.0982</f>
        <v>9.8199999999999996E-2</v>
      </c>
      <c r="I542" s="17">
        <f>IF(A542="COMPOSICAO",VLOOKUP("TOTAL - "&amp;B542,COMPOSICAO_AUX_1!$A:$J,10,FALSE),VLOOKUP(B542,I!$A:$D,4,FALSE))</f>
        <v>16.45</v>
      </c>
      <c r="J542" s="80">
        <f t="shared" si="24"/>
        <v>1.61</v>
      </c>
      <c r="K542" s="81"/>
      <c r="L542" s="3"/>
      <c r="M542" s="3"/>
      <c r="N542" s="3"/>
    </row>
    <row r="543" spans="1:14" ht="60" customHeight="1" x14ac:dyDescent="0.25">
      <c r="A543" s="16" t="s">
        <v>302</v>
      </c>
      <c r="B543" s="20">
        <v>89796</v>
      </c>
      <c r="C543" s="77" t="str">
        <f>VLOOKUP(B543,IF(A543="COMPOSICAO",S!$A:$D,I!$A:$D),2,FALSE)</f>
        <v>TE, PVC, SERIE NORMAL, ESGOTO PREDIAL, DN 100 X 100 MM, JUNTA ELÁSTICA, FORNECIDO E INSTALADO EM RAMAL DE DESCARGA OU RAMAL DE ESGOTO SANITÁRIO. AF_12/2014</v>
      </c>
      <c r="D543" s="77"/>
      <c r="E543" s="77"/>
      <c r="F543" s="77"/>
      <c r="G543" s="16" t="str">
        <f>VLOOKUP(B543,IF(A543="COMPOSICAO",S!$A:$D,I!$A:$D),3,FALSE)</f>
        <v>UN</v>
      </c>
      <c r="H543" s="22">
        <f>0.0478</f>
        <v>4.7800000000000002E-2</v>
      </c>
      <c r="I543" s="17">
        <f>IF(A543="COMPOSICAO",VLOOKUP("TOTAL - "&amp;B543,COMPOSICAO_AUX_1!$A:$J,10,FALSE),VLOOKUP(B543,I!$A:$D,4,FALSE))</f>
        <v>35.699999999999996</v>
      </c>
      <c r="J543" s="80">
        <f t="shared" si="24"/>
        <v>1.7</v>
      </c>
      <c r="K543" s="81"/>
      <c r="L543" s="3"/>
      <c r="M543" s="3"/>
      <c r="N543" s="3"/>
    </row>
    <row r="544" spans="1:14" ht="60" customHeight="1" x14ac:dyDescent="0.25">
      <c r="A544" s="16" t="s">
        <v>302</v>
      </c>
      <c r="B544" s="20">
        <v>89797</v>
      </c>
      <c r="C544" s="77" t="str">
        <f>VLOOKUP(B544,IF(A544="COMPOSICAO",S!$A:$D,I!$A:$D),2,FALSE)</f>
        <v>JUNÇÃO SIMPLES, PVC, SERIE NORMAL, ESGOTO PREDIAL, DN 100 X 100 MM, JUNTA ELÁSTICA, FORNECIDO E INSTALADO EM RAMAL DE DESCARGA OU RAMAL DE ESGOTO SANITÁRIO. AF_12/2014</v>
      </c>
      <c r="D544" s="77"/>
      <c r="E544" s="77"/>
      <c r="F544" s="77"/>
      <c r="G544" s="16" t="str">
        <f>VLOOKUP(B544,IF(A544="COMPOSICAO",S!$A:$D,I!$A:$D),3,FALSE)</f>
        <v>UN</v>
      </c>
      <c r="H544" s="22">
        <f>0.1086</f>
        <v>0.1086</v>
      </c>
      <c r="I544" s="17">
        <f>IF(A544="COMPOSICAO",VLOOKUP("TOTAL - "&amp;B544,COMPOSICAO_AUX_1!$A:$J,10,FALSE),VLOOKUP(B544,I!$A:$D,4,FALSE))</f>
        <v>41.120000000000005</v>
      </c>
      <c r="J544" s="80">
        <f t="shared" si="24"/>
        <v>4.46</v>
      </c>
      <c r="K544" s="81"/>
      <c r="L544" s="3"/>
      <c r="M544" s="3"/>
      <c r="N544" s="3"/>
    </row>
    <row r="545" spans="1:14" ht="45" customHeight="1" x14ac:dyDescent="0.25">
      <c r="A545" s="16" t="s">
        <v>302</v>
      </c>
      <c r="B545" s="20">
        <v>89800</v>
      </c>
      <c r="C545" s="77" t="str">
        <f>VLOOKUP(B545,IF(A545="COMPOSICAO",S!$A:$D,I!$A:$D),2,FALSE)</f>
        <v>TUBO PVC, SERIE NORMAL, ESGOTO PREDIAL, DN 100 MM, FORNECIDO E INSTALADO EM PRUMADA DE ESGOTO SANITÁRIO OU VENTILAÇÃO. AF_12/2014</v>
      </c>
      <c r="D545" s="77"/>
      <c r="E545" s="77"/>
      <c r="F545" s="77"/>
      <c r="G545" s="16" t="str">
        <f>VLOOKUP(B545,IF(A545="COMPOSICAO",S!$A:$D,I!$A:$D),3,FALSE)</f>
        <v>M</v>
      </c>
      <c r="H545" s="22">
        <f>0.561</f>
        <v>0.56100000000000005</v>
      </c>
      <c r="I545" s="17">
        <f>IF(A545="COMPOSICAO",VLOOKUP("TOTAL - "&amp;B545,COMPOSICAO_AUX_1!$A:$J,10,FALSE),VLOOKUP(B545,I!$A:$D,4,FALSE))</f>
        <v>22.09</v>
      </c>
      <c r="J545" s="80">
        <f t="shared" si="24"/>
        <v>12.39</v>
      </c>
      <c r="K545" s="81"/>
      <c r="L545" s="3"/>
      <c r="M545" s="3"/>
      <c r="N545" s="3"/>
    </row>
    <row r="546" spans="1:14" ht="60" customHeight="1" x14ac:dyDescent="0.25">
      <c r="A546" s="16" t="s">
        <v>302</v>
      </c>
      <c r="B546" s="20">
        <v>89810</v>
      </c>
      <c r="C546" s="77" t="str">
        <f>VLOOKUP(B546,IF(A546="COMPOSICAO",S!$A:$D,I!$A:$D),2,FALSE)</f>
        <v>JOELHO 45 GRAUS, PVC, SERIE NORMAL, ESGOTO PREDIAL, DN 100 MM, JUNTA ELÁSTICA, FORNECIDO E INSTALADO EM PRUMADA DE ESGOTO SANITÁRIO OU VENTILAÇÃO. AF_12/2014</v>
      </c>
      <c r="D546" s="77"/>
      <c r="E546" s="77"/>
      <c r="F546" s="77"/>
      <c r="G546" s="16" t="str">
        <f>VLOOKUP(B546,IF(A546="COMPOSICAO",S!$A:$D,I!$A:$D),3,FALSE)</f>
        <v>UN</v>
      </c>
      <c r="H546" s="22">
        <f>0.0085</f>
        <v>8.5000000000000006E-3</v>
      </c>
      <c r="I546" s="17">
        <f>IF(A546="COMPOSICAO",VLOOKUP("TOTAL - "&amp;B546,COMPOSICAO_AUX_1!$A:$J,10,FALSE),VLOOKUP(B546,I!$A:$D,4,FALSE))</f>
        <v>16.559999999999999</v>
      </c>
      <c r="J546" s="80">
        <f t="shared" si="24"/>
        <v>0.14000000000000001</v>
      </c>
      <c r="K546" s="81"/>
      <c r="L546" s="3"/>
      <c r="M546" s="3"/>
      <c r="N546" s="3"/>
    </row>
    <row r="547" spans="1:14" ht="60" customHeight="1" x14ac:dyDescent="0.25">
      <c r="A547" s="16" t="s">
        <v>302</v>
      </c>
      <c r="B547" s="20">
        <v>89821</v>
      </c>
      <c r="C547" s="77" t="str">
        <f>VLOOKUP(B547,IF(A547="COMPOSICAO",S!$A:$D,I!$A:$D),2,FALSE)</f>
        <v>LUVA SIMPLES, PVC, SERIE NORMAL, ESGOTO PREDIAL, DN 100 MM, JUNTA ELÁSTICA, FORNECIDO E INSTALADO EM PRUMADA DE ESGOTO SANITÁRIO OU VENTILAÇÃO. AF_12/2014</v>
      </c>
      <c r="D547" s="77"/>
      <c r="E547" s="77"/>
      <c r="F547" s="77"/>
      <c r="G547" s="16" t="str">
        <f>VLOOKUP(B547,IF(A547="COMPOSICAO",S!$A:$D,I!$A:$D),3,FALSE)</f>
        <v>UN</v>
      </c>
      <c r="H547" s="22">
        <f>0.2392</f>
        <v>0.2392</v>
      </c>
      <c r="I547" s="17">
        <f>IF(A547="COMPOSICAO",VLOOKUP("TOTAL - "&amp;B547,COMPOSICAO_AUX_1!$A:$J,10,FALSE),VLOOKUP(B547,I!$A:$D,4,FALSE))</f>
        <v>13.349999999999998</v>
      </c>
      <c r="J547" s="80">
        <f t="shared" si="24"/>
        <v>3.19</v>
      </c>
      <c r="K547" s="81"/>
      <c r="L547" s="3"/>
      <c r="M547" s="3"/>
      <c r="N547" s="3"/>
    </row>
    <row r="548" spans="1:14" ht="60" customHeight="1" x14ac:dyDescent="0.25">
      <c r="A548" s="16" t="s">
        <v>302</v>
      </c>
      <c r="B548" s="20">
        <v>89833</v>
      </c>
      <c r="C548" s="77" t="str">
        <f>VLOOKUP(B548,IF(A548="COMPOSICAO",S!$A:$D,I!$A:$D),2,FALSE)</f>
        <v>TE, PVC, SERIE NORMAL, ESGOTO PREDIAL, DN 100 X 100 MM, JUNTA ELÁSTICA, FORNECIDO E INSTALADO EM PRUMADA DE ESGOTO SANITÁRIO OU VENTILAÇÃO. AF_12/2014</v>
      </c>
      <c r="D548" s="77"/>
      <c r="E548" s="77"/>
      <c r="F548" s="77"/>
      <c r="G548" s="16" t="str">
        <f>VLOOKUP(B548,IF(A548="COMPOSICAO",S!$A:$D,I!$A:$D),3,FALSE)</f>
        <v>UN</v>
      </c>
      <c r="H548" s="22">
        <f>0.0598</f>
        <v>5.9799999999999999E-2</v>
      </c>
      <c r="I548" s="17">
        <f>IF(A548="COMPOSICAO",VLOOKUP("TOTAL - "&amp;B548,COMPOSICAO_AUX_1!$A:$J,10,FALSE),VLOOKUP(B548,I!$A:$D,4,FALSE))</f>
        <v>29.86</v>
      </c>
      <c r="J548" s="80">
        <f t="shared" si="24"/>
        <v>1.78</v>
      </c>
      <c r="K548" s="81"/>
      <c r="L548" s="3"/>
      <c r="M548" s="3"/>
      <c r="N548" s="3"/>
    </row>
    <row r="549" spans="1:14" ht="60" customHeight="1" x14ac:dyDescent="0.25">
      <c r="A549" s="16" t="s">
        <v>302</v>
      </c>
      <c r="B549" s="20">
        <v>89834</v>
      </c>
      <c r="C549" s="77" t="str">
        <f>VLOOKUP(B549,IF(A549="COMPOSICAO",S!$A:$D,I!$A:$D),2,FALSE)</f>
        <v>JUNÇÃO SIMPLES, PVC, SERIE NORMAL, ESGOTO PREDIAL, DN 100 X 100 MM, JUNTA ELÁSTICA, FORNECIDO E INSTALADO EM PRUMADA DE ESGOTO SANITÁRIO OU VENTILAÇÃO. AF_12/2014</v>
      </c>
      <c r="D549" s="77"/>
      <c r="E549" s="77"/>
      <c r="F549" s="77"/>
      <c r="G549" s="16" t="str">
        <f>VLOOKUP(B549,IF(A549="COMPOSICAO",S!$A:$D,I!$A:$D),3,FALSE)</f>
        <v>UN</v>
      </c>
      <c r="H549" s="22">
        <f>0.0311</f>
        <v>3.1099999999999999E-2</v>
      </c>
      <c r="I549" s="17">
        <f>IF(A549="COMPOSICAO",VLOOKUP("TOTAL - "&amp;B549,COMPOSICAO_AUX_1!$A:$J,10,FALSE),VLOOKUP(B549,I!$A:$D,4,FALSE))</f>
        <v>35.28</v>
      </c>
      <c r="J549" s="80">
        <f t="shared" si="24"/>
        <v>1.0900000000000001</v>
      </c>
      <c r="K549" s="81"/>
      <c r="L549" s="3"/>
      <c r="M549" s="3"/>
      <c r="N549" s="3"/>
    </row>
    <row r="550" spans="1:14" ht="45" customHeight="1" x14ac:dyDescent="0.25">
      <c r="A550" s="16" t="s">
        <v>302</v>
      </c>
      <c r="B550" s="20">
        <v>89848</v>
      </c>
      <c r="C550" s="77" t="str">
        <f>VLOOKUP(B550,IF(A550="COMPOSICAO",S!$A:$D,I!$A:$D),2,FALSE)</f>
        <v>TUBO PVC, SERIE NORMAL, ESGOTO PREDIAL, DN 100 MM, FORNECIDO E INSTALADO EM SUBCOLETOR AÉREO DE ESGOTO SANITÁRIO. AF_12/2014</v>
      </c>
      <c r="D550" s="77"/>
      <c r="E550" s="77"/>
      <c r="F550" s="77"/>
      <c r="G550" s="16" t="str">
        <f>VLOOKUP(B550,IF(A550="COMPOSICAO",S!$A:$D,I!$A:$D),3,FALSE)</f>
        <v>M</v>
      </c>
      <c r="H550" s="22">
        <f>0.2544</f>
        <v>0.25440000000000002</v>
      </c>
      <c r="I550" s="17">
        <f>IF(A550="COMPOSICAO",VLOOKUP("TOTAL - "&amp;B550,COMPOSICAO_AUX_1!$A:$J,10,FALSE),VLOOKUP(B550,I!$A:$D,4,FALSE))</f>
        <v>26.27</v>
      </c>
      <c r="J550" s="80">
        <f t="shared" si="24"/>
        <v>6.68</v>
      </c>
      <c r="K550" s="81"/>
      <c r="L550" s="3"/>
      <c r="M550" s="3"/>
      <c r="N550" s="3"/>
    </row>
    <row r="551" spans="1:14" ht="60" customHeight="1" x14ac:dyDescent="0.25">
      <c r="A551" s="16" t="s">
        <v>302</v>
      </c>
      <c r="B551" s="20">
        <v>89851</v>
      </c>
      <c r="C551" s="77" t="str">
        <f>VLOOKUP(B551,IF(A551="COMPOSICAO",S!$A:$D,I!$A:$D),2,FALSE)</f>
        <v>JOELHO 45 GRAUS, PVC, SERIE NORMAL, ESGOTO PREDIAL, DN 100 MM, JUNTA ELÁSTICA, FORNECIDO E INSTALADO EM SUBCOLETOR AÉREO DE ESGOTO SANITÁRIO. AF_12/2014</v>
      </c>
      <c r="D551" s="77"/>
      <c r="E551" s="77"/>
      <c r="F551" s="77"/>
      <c r="G551" s="16" t="str">
        <f>VLOOKUP(B551,IF(A551="COMPOSICAO",S!$A:$D,I!$A:$D),3,FALSE)</f>
        <v>UN</v>
      </c>
      <c r="H551" s="22">
        <f>0.0178</f>
        <v>1.78E-2</v>
      </c>
      <c r="I551" s="17">
        <f>IF(A551="COMPOSICAO",VLOOKUP("TOTAL - "&amp;B551,COMPOSICAO_AUX_1!$A:$J,10,FALSE),VLOOKUP(B551,I!$A:$D,4,FALSE))</f>
        <v>20.68</v>
      </c>
      <c r="J551" s="80">
        <f t="shared" si="24"/>
        <v>0.36</v>
      </c>
      <c r="K551" s="81"/>
      <c r="L551" s="3"/>
      <c r="M551" s="3"/>
      <c r="N551" s="3"/>
    </row>
    <row r="552" spans="1:14" ht="60" customHeight="1" x14ac:dyDescent="0.25">
      <c r="A552" s="16" t="s">
        <v>302</v>
      </c>
      <c r="B552" s="20">
        <v>89856</v>
      </c>
      <c r="C552" s="77" t="str">
        <f>VLOOKUP(B552,IF(A552="COMPOSICAO",S!$A:$D,I!$A:$D),2,FALSE)</f>
        <v>LUVA SIMPLES, PVC, SERIE NORMAL, ESGOTO PREDIAL, DN 100 MM, JUNTA ELÁSTICA, FORNECIDO E INSTALADO EM SUBCOLETOR AÉREO DE ESGOTO SANITÁRIO. AF_12/2014</v>
      </c>
      <c r="D552" s="77"/>
      <c r="E552" s="77"/>
      <c r="F552" s="77"/>
      <c r="G552" s="16" t="str">
        <f>VLOOKUP(B552,IF(A552="COMPOSICAO",S!$A:$D,I!$A:$D),3,FALSE)</f>
        <v>UN</v>
      </c>
      <c r="H552" s="22">
        <f>0.1267</f>
        <v>0.12670000000000001</v>
      </c>
      <c r="I552" s="17">
        <f>IF(A552="COMPOSICAO",VLOOKUP("TOTAL - "&amp;B552,COMPOSICAO_AUX_1!$A:$J,10,FALSE),VLOOKUP(B552,I!$A:$D,4,FALSE))</f>
        <v>16.100000000000001</v>
      </c>
      <c r="J552" s="80">
        <f t="shared" si="24"/>
        <v>2.0299999999999998</v>
      </c>
      <c r="K552" s="81"/>
      <c r="L552" s="3"/>
      <c r="M552" s="3"/>
      <c r="N552" s="3"/>
    </row>
    <row r="553" spans="1:14" ht="60" customHeight="1" x14ac:dyDescent="0.25">
      <c r="A553" s="16" t="s">
        <v>302</v>
      </c>
      <c r="B553" s="20">
        <v>89861</v>
      </c>
      <c r="C553" s="77" t="str">
        <f>VLOOKUP(B553,IF(A553="COMPOSICAO",S!$A:$D,I!$A:$D),2,FALSE)</f>
        <v>JUNÇÃO SIMPLES, PVC, SERIE NORMAL, ESGOTO PREDIAL, DN 100 X 100 MM, JUNTA ELÁSTICA, FORNECIDO E INSTALADO EM SUBCOLETOR AÉREO DE ESGOTO SANITÁRIO. AF_12/2014</v>
      </c>
      <c r="D553" s="77"/>
      <c r="E553" s="77"/>
      <c r="F553" s="77"/>
      <c r="G553" s="16" t="str">
        <f>VLOOKUP(B553,IF(A553="COMPOSICAO",S!$A:$D,I!$A:$D),3,FALSE)</f>
        <v>UN</v>
      </c>
      <c r="H553" s="22">
        <f>0.0008</f>
        <v>8.0000000000000004E-4</v>
      </c>
      <c r="I553" s="17">
        <f>IF(A553="COMPOSICAO",VLOOKUP("TOTAL - "&amp;B553,COMPOSICAO_AUX_1!$A:$J,10,FALSE),VLOOKUP(B553,I!$A:$D,4,FALSE))</f>
        <v>40.769999999999996</v>
      </c>
      <c r="J553" s="80">
        <f t="shared" si="24"/>
        <v>0.03</v>
      </c>
      <c r="K553" s="81"/>
      <c r="L553" s="3"/>
      <c r="M553" s="3"/>
      <c r="N553" s="3"/>
    </row>
    <row r="554" spans="1:14" ht="30" customHeight="1" x14ac:dyDescent="0.25">
      <c r="A554" s="16" t="s">
        <v>302</v>
      </c>
      <c r="B554" s="20">
        <v>90438</v>
      </c>
      <c r="C554" s="77" t="str">
        <f>VLOOKUP(B554,IF(A554="COMPOSICAO",S!$A:$D,I!$A:$D),2,FALSE)</f>
        <v>FURO EM ALVENARIA PARA DIÂMETROS MAIORES QUE 75 MM. AF_05/2015</v>
      </c>
      <c r="D554" s="77"/>
      <c r="E554" s="77"/>
      <c r="F554" s="77"/>
      <c r="G554" s="16" t="str">
        <f>VLOOKUP(B554,IF(A554="COMPOSICAO",S!$A:$D,I!$A:$D),3,FALSE)</f>
        <v>UN</v>
      </c>
      <c r="H554" s="22">
        <f>0.09995</f>
        <v>9.9949999999999997E-2</v>
      </c>
      <c r="I554" s="17">
        <f>IF(A554="COMPOSICAO",VLOOKUP("TOTAL - "&amp;B554,COMPOSICAO_AUX_1!$A:$J,10,FALSE),VLOOKUP(B554,I!$A:$D,4,FALSE))</f>
        <v>37.31</v>
      </c>
      <c r="J554" s="80">
        <f t="shared" si="24"/>
        <v>3.72</v>
      </c>
      <c r="K554" s="81"/>
      <c r="L554" s="3"/>
      <c r="M554" s="3"/>
      <c r="N554" s="3"/>
    </row>
    <row r="555" spans="1:14" ht="30" customHeight="1" x14ac:dyDescent="0.25">
      <c r="A555" s="16" t="s">
        <v>302</v>
      </c>
      <c r="B555" s="20">
        <v>90455</v>
      </c>
      <c r="C555" s="77" t="str">
        <f>VLOOKUP(B555,IF(A555="COMPOSICAO",S!$A:$D,I!$A:$D),2,FALSE)</f>
        <v>PASSANTE TIPO TUBO DE DIÂMETRO MAIOR QUE 75 MM, FIXADO EM LAJE. AF_05/2015</v>
      </c>
      <c r="D555" s="77"/>
      <c r="E555" s="77"/>
      <c r="F555" s="77"/>
      <c r="G555" s="16" t="str">
        <f>VLOOKUP(B555,IF(A555="COMPOSICAO",S!$A:$D,I!$A:$D),3,FALSE)</f>
        <v>UN</v>
      </c>
      <c r="H555" s="22">
        <f>0.2323</f>
        <v>0.23230000000000001</v>
      </c>
      <c r="I555" s="17">
        <f>IF(A555="COMPOSICAO",VLOOKUP("TOTAL - "&amp;B555,COMPOSICAO_AUX_1!$A:$J,10,FALSE),VLOOKUP(B555,I!$A:$D,4,FALSE))</f>
        <v>5.379999999999999</v>
      </c>
      <c r="J555" s="80">
        <f t="shared" si="24"/>
        <v>1.24</v>
      </c>
      <c r="K555" s="81"/>
      <c r="L555" s="3"/>
      <c r="M555" s="3"/>
      <c r="N555" s="3"/>
    </row>
    <row r="556" spans="1:14" ht="60" customHeight="1" x14ac:dyDescent="0.25">
      <c r="A556" s="16" t="s">
        <v>302</v>
      </c>
      <c r="B556" s="20">
        <v>91187</v>
      </c>
      <c r="C556" s="77" t="str">
        <f>VLOOKUP(B556,IF(A556="COMPOSICAO",S!$A:$D,I!$A:$D),2,FALSE)</f>
        <v>FIXAÇÃO DE TUBOS HORIZONTAIS DE PVC, CPVC OU COBRE DIÂMETROS MAIORES QUE 75 MM COM ABRAÇADEIRA METÁLICA FLEXÍVEL 18 MM, FIXADA DIRETAMENTE NA LAJE. AF_05/2015</v>
      </c>
      <c r="D556" s="77"/>
      <c r="E556" s="77"/>
      <c r="F556" s="77"/>
      <c r="G556" s="16" t="str">
        <f>VLOOKUP(B556,IF(A556="COMPOSICAO",S!$A:$D,I!$A:$D),3,FALSE)</f>
        <v>M</v>
      </c>
      <c r="H556" s="22">
        <f>0.1239</f>
        <v>0.1239</v>
      </c>
      <c r="I556" s="17">
        <f>IF(A556="COMPOSICAO",VLOOKUP("TOTAL - "&amp;B556,COMPOSICAO_AUX_1!$A:$J,10,FALSE),VLOOKUP(B556,I!$A:$D,4,FALSE))</f>
        <v>4.9899999999999993</v>
      </c>
      <c r="J556" s="80">
        <f t="shared" si="24"/>
        <v>0.61</v>
      </c>
      <c r="K556" s="81"/>
      <c r="L556" s="3"/>
      <c r="M556" s="3"/>
      <c r="N556" s="3"/>
    </row>
    <row r="557" spans="1:14" ht="30" customHeight="1" x14ac:dyDescent="0.25">
      <c r="A557" s="16" t="s">
        <v>302</v>
      </c>
      <c r="B557" s="20">
        <v>91192</v>
      </c>
      <c r="C557" s="77" t="str">
        <f>VLOOKUP(B557,IF(A557="COMPOSICAO",S!$A:$D,I!$A:$D),2,FALSE)</f>
        <v>CHUMBAMENTO PONTUAL EM PASSAGEM DE TUBO COM DIÂMETRO MAIOR QUE 75 MM. AF_05/2015</v>
      </c>
      <c r="D557" s="77"/>
      <c r="E557" s="77"/>
      <c r="F557" s="77"/>
      <c r="G557" s="16" t="str">
        <f>VLOOKUP(B557,IF(A557="COMPOSICAO",S!$A:$D,I!$A:$D),3,FALSE)</f>
        <v>UN</v>
      </c>
      <c r="H557" s="22">
        <f>0.0995</f>
        <v>9.9500000000000005E-2</v>
      </c>
      <c r="I557" s="17">
        <f>IF(A557="COMPOSICAO",VLOOKUP("TOTAL - "&amp;B557,COMPOSICAO_AUX_1!$A:$J,10,FALSE),VLOOKUP(B557,I!$A:$D,4,FALSE))</f>
        <v>4.5</v>
      </c>
      <c r="J557" s="80">
        <f t="shared" si="24"/>
        <v>0.44</v>
      </c>
      <c r="K557" s="81"/>
      <c r="L557" s="3"/>
      <c r="M557" s="3"/>
      <c r="N557" s="3"/>
    </row>
    <row r="558" spans="1:14" ht="15" customHeight="1" x14ac:dyDescent="0.25">
      <c r="A558" s="23" t="s">
        <v>303</v>
      </c>
      <c r="B558" s="24"/>
      <c r="C558" s="24"/>
      <c r="D558" s="24"/>
      <c r="E558" s="24"/>
      <c r="F558" s="24"/>
      <c r="G558" s="25"/>
      <c r="H558" s="26"/>
      <c r="I558" s="27"/>
      <c r="J558" s="80">
        <f>SUM(J538:K557)</f>
        <v>58.63</v>
      </c>
      <c r="K558" s="81"/>
    </row>
    <row r="559" spans="1:14" ht="15" customHeight="1" x14ac:dyDescent="0.25">
      <c r="A559" s="23" t="str">
        <f>"TAXA DE BDI ("&amp;BDI&amp;" %)"</f>
        <v>TAXA DE BDI (20,8 %)</v>
      </c>
      <c r="B559" s="24"/>
      <c r="C559" s="24"/>
      <c r="D559" s="24"/>
      <c r="E559" s="24"/>
      <c r="F559" s="24"/>
      <c r="G559" s="25"/>
      <c r="H559" s="26"/>
      <c r="I559" s="27"/>
      <c r="J559" s="80">
        <f>ROUND(J558*(BDI/100),2)</f>
        <v>12.2</v>
      </c>
      <c r="K559" s="81"/>
    </row>
    <row r="560" spans="1:14" ht="15" customHeight="1" x14ac:dyDescent="0.25">
      <c r="A560" s="23" t="s">
        <v>440</v>
      </c>
      <c r="B560" s="24"/>
      <c r="C560" s="24"/>
      <c r="D560" s="24"/>
      <c r="E560" s="24"/>
      <c r="F560" s="24"/>
      <c r="G560" s="25"/>
      <c r="H560" s="26"/>
      <c r="I560" s="27"/>
      <c r="J560" s="80">
        <f>SUM(J558:K559)</f>
        <v>70.83</v>
      </c>
      <c r="K560" s="81"/>
    </row>
    <row r="561" spans="1:14" ht="15" customHeight="1" x14ac:dyDescent="0.25">
      <c r="A561" s="3"/>
      <c r="B561" s="3"/>
      <c r="C561" s="3"/>
      <c r="D561" s="3"/>
      <c r="E561" s="3"/>
      <c r="F561" s="3"/>
      <c r="G561" s="3"/>
      <c r="H561" s="3"/>
      <c r="I561" s="3"/>
      <c r="J561" s="3"/>
      <c r="K561" s="3"/>
    </row>
    <row r="562" spans="1:14" ht="15" customHeight="1" x14ac:dyDescent="0.25">
      <c r="A562" s="10" t="s">
        <v>295</v>
      </c>
      <c r="B562" s="10" t="s">
        <v>31</v>
      </c>
      <c r="C562" s="82" t="s">
        <v>7</v>
      </c>
      <c r="D562" s="83"/>
      <c r="E562" s="83"/>
      <c r="F562" s="83"/>
      <c r="G562" s="6" t="s">
        <v>32</v>
      </c>
      <c r="H562" s="6" t="s">
        <v>296</v>
      </c>
      <c r="I562" s="6" t="s">
        <v>297</v>
      </c>
      <c r="J562" s="57" t="s">
        <v>9</v>
      </c>
      <c r="K562" s="58"/>
    </row>
    <row r="563" spans="1:14" ht="15" customHeight="1" x14ac:dyDescent="0.25">
      <c r="A563" s="6" t="s">
        <v>11</v>
      </c>
      <c r="B563" s="6" t="s">
        <v>441</v>
      </c>
      <c r="C563" s="91" t="str">
        <f>VLOOKUP(B563,S!$A:$D,2,FALSE)</f>
        <v>FOSSA SÉPTICA E SUMIDOURO EM ANÉIS D=1,20M</v>
      </c>
      <c r="D563" s="91"/>
      <c r="E563" s="91"/>
      <c r="F563" s="92"/>
      <c r="G563" s="6" t="str">
        <f>VLOOKUP(B563,S!$A:$D,3,FALSE)</f>
        <v>UN</v>
      </c>
      <c r="H563" s="21"/>
      <c r="I563" s="21">
        <f>J576</f>
        <v>2650.3100000000004</v>
      </c>
      <c r="J563" s="76"/>
      <c r="K563" s="72"/>
      <c r="L563" s="21">
        <f>VLOOKUP(B563,S!$A:$D,4,FALSE)</f>
        <v>2689.38</v>
      </c>
      <c r="M563" s="6" t="str">
        <f>IF(ROUND((L563-I563),2)=0,"OK, confere com a tabela.",IF(ROUND((L563-I563),2)&lt;0,"ACIMA ("&amp;TEXT(ROUND(I563*100/L563,4),"0,0000")&amp;" %) da tabela.","ABAIXO ("&amp;TEXT(ROUND(I563*100/L563,4),"0,0000")&amp;" %) da tabela."))</f>
        <v>ABAIXO (98,5472 %) da tabela.</v>
      </c>
    </row>
    <row r="564" spans="1:14" ht="15" customHeight="1" x14ac:dyDescent="0.25">
      <c r="A564" s="16" t="s">
        <v>302</v>
      </c>
      <c r="B564" s="16">
        <v>88309</v>
      </c>
      <c r="C564" s="77" t="str">
        <f>VLOOKUP(B564,IF(A564="COMPOSICAO",S!$A:$D,I!$A:$D),2,FALSE)</f>
        <v>PEDREIRO COM ENCARGOS COMPLEMENTARES</v>
      </c>
      <c r="D564" s="77"/>
      <c r="E564" s="77"/>
      <c r="F564" s="77"/>
      <c r="G564" s="16" t="str">
        <f>VLOOKUP(B564,IF(A564="COMPOSICAO",S!$A:$D,I!$A:$D),3,FALSE)</f>
        <v>H</v>
      </c>
      <c r="H564" s="22">
        <f>9</f>
        <v>9</v>
      </c>
      <c r="I564" s="17">
        <f>IF(A564="COMPOSICAO",VLOOKUP("TOTAL - "&amp;B564,COMPOSICAO_AUX_1!$A:$J,10,FALSE),VLOOKUP(B564,I!$A:$D,4,FALSE))</f>
        <v>19.849999999999994</v>
      </c>
      <c r="J564" s="80">
        <f t="shared" ref="J564:J575" si="25">TRUNC(H564*I564,2)</f>
        <v>178.65</v>
      </c>
      <c r="K564" s="81"/>
      <c r="L564" s="3"/>
      <c r="M564" s="3"/>
      <c r="N564" s="3"/>
    </row>
    <row r="565" spans="1:14" ht="15" customHeight="1" x14ac:dyDescent="0.25">
      <c r="A565" s="16" t="s">
        <v>302</v>
      </c>
      <c r="B565" s="16">
        <v>88316</v>
      </c>
      <c r="C565" s="77" t="str">
        <f>VLOOKUP(B565,IF(A565="COMPOSICAO",S!$A:$D,I!$A:$D),2,FALSE)</f>
        <v>SERVENTE COM ENCARGOS COMPLEMENTARES</v>
      </c>
      <c r="D565" s="77"/>
      <c r="E565" s="77"/>
      <c r="F565" s="77"/>
      <c r="G565" s="16" t="str">
        <f>VLOOKUP(B565,IF(A565="COMPOSICAO",S!$A:$D,I!$A:$D),3,FALSE)</f>
        <v>H</v>
      </c>
      <c r="H565" s="22">
        <f>5</f>
        <v>5</v>
      </c>
      <c r="I565" s="17">
        <f>IF(A565="COMPOSICAO",VLOOKUP("TOTAL - "&amp;B565,COMPOSICAO_AUX_1!$A:$J,10,FALSE),VLOOKUP(B565,I!$A:$D,4,FALSE))</f>
        <v>15.35</v>
      </c>
      <c r="J565" s="80">
        <f t="shared" si="25"/>
        <v>76.75</v>
      </c>
      <c r="K565" s="81"/>
      <c r="L565" s="3"/>
      <c r="M565" s="3"/>
      <c r="N565" s="3"/>
    </row>
    <row r="566" spans="1:14" ht="15" customHeight="1" x14ac:dyDescent="0.25">
      <c r="A566" s="16" t="s">
        <v>306</v>
      </c>
      <c r="B566" s="16" t="s">
        <v>356</v>
      </c>
      <c r="C566" s="77" t="str">
        <f>VLOOKUP(B566,IF(A566="COMPOSICAO",S!$A:$D,I!$A:$D),2,FALSE)</f>
        <v>AREIA MEDIA</v>
      </c>
      <c r="D566" s="77"/>
      <c r="E566" s="77"/>
      <c r="F566" s="77"/>
      <c r="G566" s="16" t="str">
        <f>VLOOKUP(B566,IF(A566="COMPOSICAO",S!$A:$D,I!$A:$D),3,FALSE)</f>
        <v>M3</v>
      </c>
      <c r="H566" s="22">
        <f>0.109</f>
        <v>0.109</v>
      </c>
      <c r="I566" s="17">
        <f>IF(A566="COMPOSICAO",VLOOKUP("TOTAL - "&amp;B566,COMPOSICAO_AUX_1!$A:$J,10,FALSE),VLOOKUP(B566,I!$A:$D,4,FALSE))</f>
        <v>67.5</v>
      </c>
      <c r="J566" s="80">
        <f t="shared" si="25"/>
        <v>7.35</v>
      </c>
      <c r="K566" s="81"/>
      <c r="L566" s="3"/>
      <c r="M566" s="3"/>
      <c r="N566" s="3"/>
    </row>
    <row r="567" spans="1:14" ht="15" customHeight="1" x14ac:dyDescent="0.25">
      <c r="A567" s="16" t="s">
        <v>306</v>
      </c>
      <c r="B567" s="16" t="s">
        <v>357</v>
      </c>
      <c r="C567" s="77" t="str">
        <f>VLOOKUP(B567,IF(A567="COMPOSICAO",S!$A:$D,I!$A:$D),2,FALSE)</f>
        <v>CIMENTO PORTLAND</v>
      </c>
      <c r="D567" s="77"/>
      <c r="E567" s="77"/>
      <c r="F567" s="77"/>
      <c r="G567" s="16" t="str">
        <f>VLOOKUP(B567,IF(A567="COMPOSICAO",S!$A:$D,I!$A:$D),3,FALSE)</f>
        <v>KG</v>
      </c>
      <c r="H567" s="22">
        <f>72.9</f>
        <v>72.900000000000006</v>
      </c>
      <c r="I567" s="17">
        <f>IF(A567="COMPOSICAO",VLOOKUP("TOTAL - "&amp;B567,COMPOSICAO_AUX_1!$A:$J,10,FALSE),VLOOKUP(B567,I!$A:$D,4,FALSE))</f>
        <v>0.56000000000000005</v>
      </c>
      <c r="J567" s="80">
        <f t="shared" si="25"/>
        <v>40.82</v>
      </c>
      <c r="K567" s="81"/>
      <c r="L567" s="3"/>
      <c r="M567" s="3"/>
      <c r="N567" s="3"/>
    </row>
    <row r="568" spans="1:14" ht="15" customHeight="1" x14ac:dyDescent="0.25">
      <c r="A568" s="16" t="s">
        <v>306</v>
      </c>
      <c r="B568" s="16" t="s">
        <v>442</v>
      </c>
      <c r="C568" s="77" t="str">
        <f>VLOOKUP(B568,IF(A568="COMPOSICAO",S!$A:$D,I!$A:$D),2,FALSE)</f>
        <v>ANEL PRE-MOLDADO DE CONCRETO D=1,20M, h=0,50M</v>
      </c>
      <c r="D568" s="77"/>
      <c r="E568" s="77"/>
      <c r="F568" s="77"/>
      <c r="G568" s="16" t="str">
        <f>VLOOKUP(B568,IF(A568="COMPOSICAO",S!$A:$D,I!$A:$D),3,FALSE)</f>
        <v>UN</v>
      </c>
      <c r="H568" s="22">
        <f>6</f>
        <v>6</v>
      </c>
      <c r="I568" s="17">
        <f>IF(A568="COMPOSICAO",VLOOKUP("TOTAL - "&amp;B568,COMPOSICAO_AUX_1!$A:$J,10,FALSE),VLOOKUP(B568,I!$A:$D,4,FALSE))</f>
        <v>152.08000000000001</v>
      </c>
      <c r="J568" s="80">
        <f t="shared" si="25"/>
        <v>912.48</v>
      </c>
      <c r="K568" s="81"/>
      <c r="L568" s="3"/>
      <c r="M568" s="3"/>
      <c r="N568" s="3"/>
    </row>
    <row r="569" spans="1:14" ht="30" customHeight="1" x14ac:dyDescent="0.25">
      <c r="A569" s="16" t="s">
        <v>306</v>
      </c>
      <c r="B569" s="16" t="s">
        <v>443</v>
      </c>
      <c r="C569" s="77" t="str">
        <f>VLOOKUP(B569,IF(A569="COMPOSICAO",S!$A:$D,I!$A:$D),2,FALSE)</f>
        <v>TAMPA PRE-MOLDADA DE CONCRETO P/ FOSSA E SUMIDOURO DE  D=1,20M,E=0,10M</v>
      </c>
      <c r="D569" s="77"/>
      <c r="E569" s="77"/>
      <c r="F569" s="77"/>
      <c r="G569" s="16" t="str">
        <f>VLOOKUP(B569,IF(A569="COMPOSICAO",S!$A:$D,I!$A:$D),3,FALSE)</f>
        <v>UN</v>
      </c>
      <c r="H569" s="22">
        <f>2</f>
        <v>2</v>
      </c>
      <c r="I569" s="17">
        <f>IF(A569="COMPOSICAO",VLOOKUP("TOTAL - "&amp;B569,COMPOSICAO_AUX_1!$A:$J,10,FALSE),VLOOKUP(B569,I!$A:$D,4,FALSE))</f>
        <v>206.17</v>
      </c>
      <c r="J569" s="80">
        <f t="shared" si="25"/>
        <v>412.34</v>
      </c>
      <c r="K569" s="81"/>
      <c r="L569" s="3"/>
      <c r="M569" s="3"/>
      <c r="N569" s="3"/>
    </row>
    <row r="570" spans="1:14" ht="15" customHeight="1" x14ac:dyDescent="0.25">
      <c r="A570" s="16" t="s">
        <v>306</v>
      </c>
      <c r="B570" s="16" t="s">
        <v>444</v>
      </c>
      <c r="C570" s="77" t="str">
        <f>VLOOKUP(B570,IF(A570="COMPOSICAO",S!$A:$D,I!$A:$D),2,FALSE)</f>
        <v>LAJE DE FUNDO P/ FOSSA DE D=1,20M, E=0,10M</v>
      </c>
      <c r="D570" s="77"/>
      <c r="E570" s="77"/>
      <c r="F570" s="77"/>
      <c r="G570" s="16" t="str">
        <f>VLOOKUP(B570,IF(A570="COMPOSICAO",S!$A:$D,I!$A:$D),3,FALSE)</f>
        <v>UN</v>
      </c>
      <c r="H570" s="22">
        <f>1</f>
        <v>1</v>
      </c>
      <c r="I570" s="17">
        <f>IF(A570="COMPOSICAO",VLOOKUP("TOTAL - "&amp;B570,COMPOSICAO_AUX_1!$A:$J,10,FALSE),VLOOKUP(B570,I!$A:$D,4,FALSE))</f>
        <v>185.47</v>
      </c>
      <c r="J570" s="80">
        <f t="shared" si="25"/>
        <v>185.47</v>
      </c>
      <c r="K570" s="81"/>
      <c r="L570" s="3"/>
      <c r="M570" s="3"/>
      <c r="N570" s="3"/>
    </row>
    <row r="571" spans="1:14" ht="15" customHeight="1" x14ac:dyDescent="0.25">
      <c r="A571" s="16" t="s">
        <v>302</v>
      </c>
      <c r="B571" s="16" t="s">
        <v>445</v>
      </c>
      <c r="C571" s="77" t="str">
        <f>VLOOKUP(B571,IF(A571="COMPOSICAO",S!$A:$D,I!$A:$D),2,FALSE)</f>
        <v>TUBO PVC BRANCO P/ESGOTO D=100MM (4')</v>
      </c>
      <c r="D571" s="77"/>
      <c r="E571" s="77"/>
      <c r="F571" s="77"/>
      <c r="G571" s="16" t="str">
        <f>VLOOKUP(B571,IF(A571="COMPOSICAO",S!$A:$D,I!$A:$D),3,FALSE)</f>
        <v>M</v>
      </c>
      <c r="H571" s="22">
        <f>4</f>
        <v>4</v>
      </c>
      <c r="I571" s="17">
        <f>IF(A571="COMPOSICAO",VLOOKUP("TOTAL - "&amp;B571,COMPOSICAO_AUX_1!$A:$J,10,FALSE),VLOOKUP(B571,I!$A:$D,4,FALSE))</f>
        <v>35.11</v>
      </c>
      <c r="J571" s="80">
        <f t="shared" si="25"/>
        <v>140.44</v>
      </c>
      <c r="K571" s="81"/>
      <c r="L571" s="3"/>
      <c r="M571" s="3"/>
      <c r="N571" s="3"/>
    </row>
    <row r="572" spans="1:14" ht="30" customHeight="1" x14ac:dyDescent="0.25">
      <c r="A572" s="16" t="s">
        <v>302</v>
      </c>
      <c r="B572" s="16" t="s">
        <v>446</v>
      </c>
      <c r="C572" s="77" t="str">
        <f>VLOOKUP(B572,IF(A572="COMPOSICAO",S!$A:$D,I!$A:$D),2,FALSE)</f>
        <v>ESCAVAÇÃO MANUAL SOLO DE 1A CAT. PROF. DE 1.51 a 3.00m</v>
      </c>
      <c r="D572" s="77"/>
      <c r="E572" s="77"/>
      <c r="F572" s="77"/>
      <c r="G572" s="16" t="str">
        <f>VLOOKUP(B572,IF(A572="COMPOSICAO",S!$A:$D,I!$A:$D),3,FALSE)</f>
        <v>M3</v>
      </c>
      <c r="H572" s="22">
        <f>8.04</f>
        <v>8.0399999999999991</v>
      </c>
      <c r="I572" s="17">
        <f>IF(A572="COMPOSICAO",VLOOKUP("TOTAL - "&amp;B572,COMPOSICAO_AUX_1!$A:$J,10,FALSE),VLOOKUP(B572,I!$A:$D,4,FALSE))</f>
        <v>59.99</v>
      </c>
      <c r="J572" s="80">
        <f t="shared" si="25"/>
        <v>482.31</v>
      </c>
      <c r="K572" s="81"/>
      <c r="L572" s="3"/>
      <c r="M572" s="3"/>
      <c r="N572" s="3"/>
    </row>
    <row r="573" spans="1:14" ht="15" customHeight="1" x14ac:dyDescent="0.25">
      <c r="A573" s="16" t="s">
        <v>302</v>
      </c>
      <c r="B573" s="16" t="s">
        <v>447</v>
      </c>
      <c r="C573" s="77" t="str">
        <f>VLOOKUP(B573,IF(A573="COMPOSICAO",S!$A:$D,I!$A:$D),2,FALSE)</f>
        <v>LASTRO DE AREIA ADQUIRIDA</v>
      </c>
      <c r="D573" s="77"/>
      <c r="E573" s="77"/>
      <c r="F573" s="77"/>
      <c r="G573" s="16" t="str">
        <f>VLOOKUP(B573,IF(A573="COMPOSICAO",S!$A:$D,I!$A:$D),3,FALSE)</f>
        <v>M3</v>
      </c>
      <c r="H573" s="22">
        <f>0.23</f>
        <v>0.23</v>
      </c>
      <c r="I573" s="17">
        <f>IF(A573="COMPOSICAO",VLOOKUP("TOTAL - "&amp;B573,COMPOSICAO_AUX_1!$A:$J,10,FALSE),VLOOKUP(B573,I!$A:$D,4,FALSE))</f>
        <v>108.2</v>
      </c>
      <c r="J573" s="80">
        <f t="shared" si="25"/>
        <v>24.88</v>
      </c>
      <c r="K573" s="81"/>
      <c r="L573" s="3"/>
      <c r="M573" s="3"/>
      <c r="N573" s="3"/>
    </row>
    <row r="574" spans="1:14" ht="15" customHeight="1" x14ac:dyDescent="0.25">
      <c r="A574" s="16" t="s">
        <v>302</v>
      </c>
      <c r="B574" s="16" t="s">
        <v>448</v>
      </c>
      <c r="C574" s="77" t="str">
        <f>VLOOKUP(B574,IF(A574="COMPOSICAO",S!$A:$D,I!$A:$D),2,FALSE)</f>
        <v>LASTRO DE BRITA</v>
      </c>
      <c r="D574" s="77"/>
      <c r="E574" s="77"/>
      <c r="F574" s="77"/>
      <c r="G574" s="16" t="str">
        <f>VLOOKUP(B574,IF(A574="COMPOSICAO",S!$A:$D,I!$A:$D),3,FALSE)</f>
        <v>M3</v>
      </c>
      <c r="H574" s="22">
        <f>0.23</f>
        <v>0.23</v>
      </c>
      <c r="I574" s="17">
        <f>IF(A574="COMPOSICAO",VLOOKUP("TOTAL - "&amp;B574,COMPOSICAO_AUX_1!$A:$J,10,FALSE),VLOOKUP(B574,I!$A:$D,4,FALSE))</f>
        <v>121.89</v>
      </c>
      <c r="J574" s="80">
        <f t="shared" si="25"/>
        <v>28.03</v>
      </c>
      <c r="K574" s="81"/>
      <c r="L574" s="3"/>
      <c r="M574" s="3"/>
      <c r="N574" s="3"/>
    </row>
    <row r="575" spans="1:14" ht="30" customHeight="1" x14ac:dyDescent="0.25">
      <c r="A575" s="16" t="s">
        <v>302</v>
      </c>
      <c r="B575" s="16" t="s">
        <v>449</v>
      </c>
      <c r="C575" s="77" t="str">
        <f>VLOOKUP(B575,IF(A575="COMPOSICAO",S!$A:$D,I!$A:$D),2,FALSE)</f>
        <v>REATERRO C/COMPACTAÇÃO MANUAL S/CONTROLE, MATERIAL DA VALA</v>
      </c>
      <c r="D575" s="77"/>
      <c r="E575" s="77"/>
      <c r="F575" s="77"/>
      <c r="G575" s="16" t="str">
        <f>VLOOKUP(B575,IF(A575="COMPOSICAO",S!$A:$D,I!$A:$D),3,FALSE)</f>
        <v>M3</v>
      </c>
      <c r="H575" s="22">
        <f>5.52</f>
        <v>5.52</v>
      </c>
      <c r="I575" s="17">
        <f>IF(A575="COMPOSICAO",VLOOKUP("TOTAL - "&amp;B575,COMPOSICAO_AUX_1!$A:$J,10,FALSE),VLOOKUP(B575,I!$A:$D,4,FALSE))</f>
        <v>29.13</v>
      </c>
      <c r="J575" s="80">
        <f t="shared" si="25"/>
        <v>160.79</v>
      </c>
      <c r="K575" s="81"/>
      <c r="L575" s="3"/>
      <c r="M575" s="3"/>
      <c r="N575" s="3"/>
    </row>
    <row r="576" spans="1:14" ht="15" customHeight="1" x14ac:dyDescent="0.25">
      <c r="A576" s="23" t="s">
        <v>303</v>
      </c>
      <c r="B576" s="24"/>
      <c r="C576" s="24"/>
      <c r="D576" s="24"/>
      <c r="E576" s="24"/>
      <c r="F576" s="24"/>
      <c r="G576" s="25"/>
      <c r="H576" s="26"/>
      <c r="I576" s="27"/>
      <c r="J576" s="80">
        <f>SUM(J563:K575)</f>
        <v>2650.3100000000004</v>
      </c>
      <c r="K576" s="81"/>
    </row>
    <row r="577" spans="1:14" ht="15" customHeight="1" x14ac:dyDescent="0.25">
      <c r="A577" s="23" t="str">
        <f>"TAXA DE BDI ("&amp;BDI&amp;" %)"</f>
        <v>TAXA DE BDI (20,8 %)</v>
      </c>
      <c r="B577" s="24"/>
      <c r="C577" s="24"/>
      <c r="D577" s="24"/>
      <c r="E577" s="24"/>
      <c r="F577" s="24"/>
      <c r="G577" s="25"/>
      <c r="H577" s="26"/>
      <c r="I577" s="27"/>
      <c r="J577" s="80">
        <f>ROUND(J576*(BDI/100),2)</f>
        <v>551.26</v>
      </c>
      <c r="K577" s="81"/>
    </row>
    <row r="578" spans="1:14" ht="15" customHeight="1" x14ac:dyDescent="0.25">
      <c r="A578" s="23" t="s">
        <v>450</v>
      </c>
      <c r="B578" s="24"/>
      <c r="C578" s="24"/>
      <c r="D578" s="24"/>
      <c r="E578" s="24"/>
      <c r="F578" s="24"/>
      <c r="G578" s="25"/>
      <c r="H578" s="26"/>
      <c r="I578" s="27"/>
      <c r="J578" s="80">
        <f>SUM(J576:K577)</f>
        <v>3201.5700000000006</v>
      </c>
      <c r="K578" s="81"/>
    </row>
    <row r="579" spans="1:14" ht="15" customHeight="1" x14ac:dyDescent="0.25">
      <c r="A579" s="3"/>
      <c r="B579" s="3"/>
      <c r="C579" s="3"/>
      <c r="D579" s="3"/>
      <c r="E579" s="3"/>
      <c r="F579" s="3"/>
      <c r="G579" s="3"/>
      <c r="H579" s="3"/>
      <c r="I579" s="3"/>
      <c r="J579" s="3"/>
      <c r="K579" s="3"/>
    </row>
    <row r="580" spans="1:14" ht="15" customHeight="1" x14ac:dyDescent="0.25">
      <c r="A580" s="10" t="s">
        <v>295</v>
      </c>
      <c r="B580" s="10" t="s">
        <v>31</v>
      </c>
      <c r="C580" s="82" t="s">
        <v>7</v>
      </c>
      <c r="D580" s="83"/>
      <c r="E580" s="83"/>
      <c r="F580" s="83"/>
      <c r="G580" s="6" t="s">
        <v>32</v>
      </c>
      <c r="H580" s="6" t="s">
        <v>296</v>
      </c>
      <c r="I580" s="6" t="s">
        <v>297</v>
      </c>
      <c r="J580" s="57" t="s">
        <v>9</v>
      </c>
      <c r="K580" s="58"/>
    </row>
    <row r="581" spans="1:14" ht="45" customHeight="1" x14ac:dyDescent="0.25">
      <c r="A581" s="6" t="s">
        <v>413</v>
      </c>
      <c r="B581" s="28">
        <v>86888</v>
      </c>
      <c r="C581" s="91" t="str">
        <f>VLOOKUP(B581,S!$A:$D,2,FALSE)</f>
        <v>VASO SANITÁRIO SIFONADO COM CAIXA ACOPLADA LOUÇA BRANCA - FORNECIMENTO E INSTALAÇÃO. AF_01/2020</v>
      </c>
      <c r="D581" s="91"/>
      <c r="E581" s="91"/>
      <c r="F581" s="92"/>
      <c r="G581" s="6" t="str">
        <f>VLOOKUP(B581,S!$A:$D,3,FALSE)</f>
        <v>UN</v>
      </c>
      <c r="H581" s="21"/>
      <c r="I581" s="21">
        <f>J588</f>
        <v>431.93</v>
      </c>
      <c r="J581" s="76"/>
      <c r="K581" s="72"/>
      <c r="L581" s="21">
        <f>VLOOKUP(B581,S!$A:$D,4,FALSE)</f>
        <v>431.93</v>
      </c>
      <c r="M581" s="6" t="str">
        <f>IF(ROUND((L581-I581),2)=0,"OK, confere com a tabela.",IF(ROUND((L581-I581),2)&lt;0,"ACIMA ("&amp;TEXT(ROUND(I581*100/L581,4),"0,0000")&amp;" %) da tabela.","ABAIXO ("&amp;TEXT(ROUND(I581*100/L581,4),"0,0000")&amp;" %) da tabela."))</f>
        <v>OK, confere com a tabela.</v>
      </c>
    </row>
    <row r="582" spans="1:14" ht="45" customHeight="1" x14ac:dyDescent="0.25">
      <c r="A582" s="16" t="s">
        <v>306</v>
      </c>
      <c r="B582" s="20">
        <v>4384</v>
      </c>
      <c r="C582" s="77" t="str">
        <f>VLOOKUP(B582,IF(A582="COMPOSICAO",S!$A:$D,I!$A:$D),2,FALSE)</f>
        <v>PARAFUSO NIQUELADO COM ACABAMENTO CROMADO PARA FIXAR PECA SANITARIA, INCLUI PORCA CEGA, ARRUELA E BUCHA DE NYLON TAMANHO S-10</v>
      </c>
      <c r="D582" s="77"/>
      <c r="E582" s="77"/>
      <c r="F582" s="77"/>
      <c r="G582" s="16" t="str">
        <f>VLOOKUP(B582,IF(A582="COMPOSICAO",S!$A:$D,I!$A:$D),3,FALSE)</f>
        <v>UN</v>
      </c>
      <c r="H582" s="22">
        <f>2</f>
        <v>2</v>
      </c>
      <c r="I582" s="17">
        <f>IF(A582="COMPOSICAO",VLOOKUP("TOTAL - "&amp;B582,COMPOSICAO_AUX_1!$A:$J,10,FALSE),VLOOKUP(B582,I!$A:$D,4,FALSE))</f>
        <v>13.5</v>
      </c>
      <c r="J582" s="80">
        <f t="shared" ref="J582:J587" si="26">TRUNC(H582*I582,2)</f>
        <v>27</v>
      </c>
      <c r="K582" s="81"/>
      <c r="L582" s="3"/>
      <c r="M582" s="3"/>
      <c r="N582" s="3"/>
    </row>
    <row r="583" spans="1:14" ht="30" customHeight="1" x14ac:dyDescent="0.25">
      <c r="A583" s="16" t="s">
        <v>306</v>
      </c>
      <c r="B583" s="20">
        <v>6138</v>
      </c>
      <c r="C583" s="77" t="str">
        <f>VLOOKUP(B583,IF(A583="COMPOSICAO",S!$A:$D,I!$A:$D),2,FALSE)</f>
        <v>VEDACAO PVC, 100 MM, PARA SAIDA VASO SANITARIO</v>
      </c>
      <c r="D583" s="77"/>
      <c r="E583" s="77"/>
      <c r="F583" s="77"/>
      <c r="G583" s="16" t="str">
        <f>VLOOKUP(B583,IF(A583="COMPOSICAO",S!$A:$D,I!$A:$D),3,FALSE)</f>
        <v>UN</v>
      </c>
      <c r="H583" s="22">
        <f>1</f>
        <v>1</v>
      </c>
      <c r="I583" s="17">
        <f>IF(A583="COMPOSICAO",VLOOKUP("TOTAL - "&amp;B583,COMPOSICAO_AUX_1!$A:$J,10,FALSE),VLOOKUP(B583,I!$A:$D,4,FALSE))</f>
        <v>1.6</v>
      </c>
      <c r="J583" s="80">
        <f t="shared" si="26"/>
        <v>1.6</v>
      </c>
      <c r="K583" s="81"/>
      <c r="L583" s="3"/>
      <c r="M583" s="3"/>
      <c r="N583" s="3"/>
    </row>
    <row r="584" spans="1:14" ht="30" customHeight="1" x14ac:dyDescent="0.25">
      <c r="A584" s="16" t="s">
        <v>306</v>
      </c>
      <c r="B584" s="20">
        <v>10422</v>
      </c>
      <c r="C584" s="77" t="str">
        <f>VLOOKUP(B584,IF(A584="COMPOSICAO",S!$A:$D,I!$A:$D),2,FALSE)</f>
        <v>BACIA SANITARIA (VASO) COM CAIXA ACOPLADA, DE LOUCA BRANCA</v>
      </c>
      <c r="D584" s="77"/>
      <c r="E584" s="77"/>
      <c r="F584" s="77"/>
      <c r="G584" s="16" t="str">
        <f>VLOOKUP(B584,IF(A584="COMPOSICAO",S!$A:$D,I!$A:$D),3,FALSE)</f>
        <v>UN</v>
      </c>
      <c r="H584" s="22">
        <f>1</f>
        <v>1</v>
      </c>
      <c r="I584" s="17">
        <f>IF(A584="COMPOSICAO",VLOOKUP("TOTAL - "&amp;B584,COMPOSICAO_AUX_1!$A:$J,10,FALSE),VLOOKUP(B584,I!$A:$D,4,FALSE))</f>
        <v>375.31</v>
      </c>
      <c r="J584" s="80">
        <f t="shared" si="26"/>
        <v>375.31</v>
      </c>
      <c r="K584" s="81"/>
      <c r="L584" s="3"/>
      <c r="M584" s="3"/>
      <c r="N584" s="3"/>
    </row>
    <row r="585" spans="1:14" ht="15" customHeight="1" x14ac:dyDescent="0.25">
      <c r="A585" s="16" t="s">
        <v>306</v>
      </c>
      <c r="B585" s="20">
        <v>37329</v>
      </c>
      <c r="C585" s="77" t="str">
        <f>VLOOKUP(B585,IF(A585="COMPOSICAO",S!$A:$D,I!$A:$D),2,FALSE)</f>
        <v>REJUNTE EPOXI, QUALQUER COR</v>
      </c>
      <c r="D585" s="77"/>
      <c r="E585" s="77"/>
      <c r="F585" s="77"/>
      <c r="G585" s="16" t="str">
        <f>VLOOKUP(B585,IF(A585="COMPOSICAO",S!$A:$D,I!$A:$D),3,FALSE)</f>
        <v>KG</v>
      </c>
      <c r="H585" s="22">
        <f>0.0881</f>
        <v>8.8099999999999998E-2</v>
      </c>
      <c r="I585" s="17">
        <f>IF(A585="COMPOSICAO",VLOOKUP("TOTAL - "&amp;B585,COMPOSICAO_AUX_1!$A:$J,10,FALSE),VLOOKUP(B585,I!$A:$D,4,FALSE))</f>
        <v>70.489999999999995</v>
      </c>
      <c r="J585" s="80">
        <f t="shared" si="26"/>
        <v>6.21</v>
      </c>
      <c r="K585" s="81"/>
      <c r="L585" s="3"/>
      <c r="M585" s="3"/>
      <c r="N585" s="3"/>
    </row>
    <row r="586" spans="1:14" ht="30" customHeight="1" x14ac:dyDescent="0.25">
      <c r="A586" s="16" t="s">
        <v>302</v>
      </c>
      <c r="B586" s="20">
        <v>88267</v>
      </c>
      <c r="C586" s="77" t="str">
        <f>VLOOKUP(B586,IF(A586="COMPOSICAO",S!$A:$D,I!$A:$D),2,FALSE)</f>
        <v>ENCANADOR OU BOMBEIRO HIDRÁULICO COM ENCARGOS COMPLEMENTARES</v>
      </c>
      <c r="D586" s="77"/>
      <c r="E586" s="77"/>
      <c r="F586" s="77"/>
      <c r="G586" s="16" t="str">
        <f>VLOOKUP(B586,IF(A586="COMPOSICAO",S!$A:$D,I!$A:$D),3,FALSE)</f>
        <v>H</v>
      </c>
      <c r="H586" s="22">
        <f>0.7791</f>
        <v>0.77910000000000001</v>
      </c>
      <c r="I586" s="17">
        <f>IF(A586="COMPOSICAO",VLOOKUP("TOTAL - "&amp;B586,COMPOSICAO_AUX_1!$A:$J,10,FALSE),VLOOKUP(B586,I!$A:$D,4,FALSE))</f>
        <v>19.37</v>
      </c>
      <c r="J586" s="80">
        <f t="shared" si="26"/>
        <v>15.09</v>
      </c>
      <c r="K586" s="81"/>
      <c r="L586" s="3"/>
      <c r="M586" s="3"/>
      <c r="N586" s="3"/>
    </row>
    <row r="587" spans="1:14" ht="15" customHeight="1" x14ac:dyDescent="0.25">
      <c r="A587" s="16" t="s">
        <v>302</v>
      </c>
      <c r="B587" s="20">
        <v>88316</v>
      </c>
      <c r="C587" s="77" t="str">
        <f>VLOOKUP(B587,IF(A587="COMPOSICAO",S!$A:$D,I!$A:$D),2,FALSE)</f>
        <v>SERVENTE COM ENCARGOS COMPLEMENTARES</v>
      </c>
      <c r="D587" s="77"/>
      <c r="E587" s="77"/>
      <c r="F587" s="77"/>
      <c r="G587" s="16" t="str">
        <f>VLOOKUP(B587,IF(A587="COMPOSICAO",S!$A:$D,I!$A:$D),3,FALSE)</f>
        <v>H</v>
      </c>
      <c r="H587" s="22">
        <f>0.4384</f>
        <v>0.43840000000000001</v>
      </c>
      <c r="I587" s="17">
        <f>IF(A587="COMPOSICAO",VLOOKUP("TOTAL - "&amp;B587,COMPOSICAO_AUX_1!$A:$J,10,FALSE),VLOOKUP(B587,I!$A:$D,4,FALSE))</f>
        <v>15.35</v>
      </c>
      <c r="J587" s="80">
        <f t="shared" si="26"/>
        <v>6.72</v>
      </c>
      <c r="K587" s="81"/>
      <c r="L587" s="3"/>
      <c r="M587" s="3"/>
      <c r="N587" s="3"/>
    </row>
    <row r="588" spans="1:14" ht="15" customHeight="1" x14ac:dyDescent="0.25">
      <c r="A588" s="23" t="s">
        <v>303</v>
      </c>
      <c r="B588" s="24"/>
      <c r="C588" s="24"/>
      <c r="D588" s="24"/>
      <c r="E588" s="24"/>
      <c r="F588" s="24"/>
      <c r="G588" s="25"/>
      <c r="H588" s="26"/>
      <c r="I588" s="27"/>
      <c r="J588" s="80">
        <f>SUM(J581:K587)</f>
        <v>431.93</v>
      </c>
      <c r="K588" s="81"/>
    </row>
    <row r="589" spans="1:14" ht="15" customHeight="1" x14ac:dyDescent="0.25">
      <c r="A589" s="23" t="str">
        <f>"TAXA DE BDI ("&amp;BDI&amp;" %)"</f>
        <v>TAXA DE BDI (20,8 %)</v>
      </c>
      <c r="B589" s="24"/>
      <c r="C589" s="24"/>
      <c r="D589" s="24"/>
      <c r="E589" s="24"/>
      <c r="F589" s="24"/>
      <c r="G589" s="25"/>
      <c r="H589" s="26"/>
      <c r="I589" s="27"/>
      <c r="J589" s="80">
        <f>ROUND(J588*(BDI/100),2)</f>
        <v>89.84</v>
      </c>
      <c r="K589" s="81"/>
    </row>
    <row r="590" spans="1:14" ht="15" customHeight="1" x14ac:dyDescent="0.25">
      <c r="A590" s="23" t="s">
        <v>451</v>
      </c>
      <c r="B590" s="24"/>
      <c r="C590" s="24"/>
      <c r="D590" s="24"/>
      <c r="E590" s="24"/>
      <c r="F590" s="24"/>
      <c r="G590" s="25"/>
      <c r="H590" s="26"/>
      <c r="I590" s="27"/>
      <c r="J590" s="80">
        <f>SUM(J588:K589)</f>
        <v>521.77</v>
      </c>
      <c r="K590" s="81"/>
    </row>
    <row r="591" spans="1:14" ht="15" customHeight="1" x14ac:dyDescent="0.25">
      <c r="A591" s="3"/>
      <c r="B591" s="3"/>
      <c r="C591" s="3"/>
      <c r="D591" s="3"/>
      <c r="E591" s="3"/>
      <c r="F591" s="3"/>
      <c r="G591" s="3"/>
      <c r="H591" s="3"/>
      <c r="I591" s="3"/>
      <c r="J591" s="3"/>
      <c r="K591" s="3"/>
    </row>
    <row r="592" spans="1:14" ht="15" customHeight="1" x14ac:dyDescent="0.25">
      <c r="A592" s="10" t="s">
        <v>295</v>
      </c>
      <c r="B592" s="10" t="s">
        <v>31</v>
      </c>
      <c r="C592" s="82" t="s">
        <v>7</v>
      </c>
      <c r="D592" s="83"/>
      <c r="E592" s="83"/>
      <c r="F592" s="83"/>
      <c r="G592" s="6" t="s">
        <v>32</v>
      </c>
      <c r="H592" s="6" t="s">
        <v>296</v>
      </c>
      <c r="I592" s="6" t="s">
        <v>297</v>
      </c>
      <c r="J592" s="57" t="s">
        <v>9</v>
      </c>
      <c r="K592" s="58"/>
    </row>
    <row r="593" spans="1:14" ht="75" customHeight="1" x14ac:dyDescent="0.25">
      <c r="A593" s="6" t="s">
        <v>11</v>
      </c>
      <c r="B593" s="6" t="s">
        <v>452</v>
      </c>
      <c r="C593" s="91" t="str">
        <f>VLOOKUP(B593,S!$A:$D,2,FALSE)</f>
        <v>LAVATÓRIO COM BANCADA EM GRANITO CINZA ANDORINHA, E = 2CM, DIM 1,50X0,60, COM 02 CUBAS DE EMBUTIR DE LOUÇA, SIFÃO CROMADO, VÁLVULA CROMADA, TORNEIRA CROMADA, INCLUSIVE RODOPIA 10 CM, ASSENTADA</v>
      </c>
      <c r="D593" s="91"/>
      <c r="E593" s="91"/>
      <c r="F593" s="92"/>
      <c r="G593" s="6" t="str">
        <f>VLOOKUP(B593,S!$A:$D,3,FALSE)</f>
        <v>UN</v>
      </c>
      <c r="H593" s="21"/>
      <c r="I593" s="21">
        <f>J608</f>
        <v>1350.2500000000002</v>
      </c>
      <c r="J593" s="76"/>
      <c r="K593" s="72"/>
      <c r="L593" s="21">
        <f>VLOOKUP(B593,S!$A:$D,4,FALSE)</f>
        <v>1469.81</v>
      </c>
      <c r="M593" s="6" t="str">
        <f>IF(ROUND((L593-I593),2)=0,"OK, confere com a tabela.",IF(ROUND((L593-I593),2)&lt;0,"ACIMA ("&amp;TEXT(ROUND(I593*100/L593,4),"0,0000")&amp;" %) da tabela.","ABAIXO ("&amp;TEXT(ROUND(I593*100/L593,4),"0,0000")&amp;" %) da tabela."))</f>
        <v>ABAIXO (91,8656 %) da tabela.</v>
      </c>
    </row>
    <row r="594" spans="1:14" ht="30" customHeight="1" x14ac:dyDescent="0.25">
      <c r="A594" s="16" t="s">
        <v>306</v>
      </c>
      <c r="B594" s="16" t="s">
        <v>453</v>
      </c>
      <c r="C594" s="77" t="str">
        <f>VLOOKUP(B594,IF(A594="COMPOSICAO",S!$A:$D,I!$A:$D),2,FALSE)</f>
        <v>CUBA DE EMBUTIR BRANCA ( DECA - CARRARA - REF. L-36 OU SIMILAR)</v>
      </c>
      <c r="D594" s="77"/>
      <c r="E594" s="77"/>
      <c r="F594" s="77"/>
      <c r="G594" s="16" t="str">
        <f>VLOOKUP(B594,IF(A594="COMPOSICAO",S!$A:$D,I!$A:$D),3,FALSE)</f>
        <v>UN</v>
      </c>
      <c r="H594" s="22">
        <f>2</f>
        <v>2</v>
      </c>
      <c r="I594" s="17">
        <f>IF(A594="COMPOSICAO",VLOOKUP("TOTAL - "&amp;B594,COMPOSICAO_AUX_1!$A:$J,10,FALSE),VLOOKUP(B594,I!$A:$D,4,FALSE))</f>
        <v>49.9</v>
      </c>
      <c r="J594" s="80">
        <f t="shared" ref="J594:J607" si="27">TRUNC(H594*I594,2)</f>
        <v>99.8</v>
      </c>
      <c r="K594" s="81"/>
      <c r="L594" s="3"/>
      <c r="M594" s="3"/>
      <c r="N594" s="3"/>
    </row>
    <row r="595" spans="1:14" ht="30" customHeight="1" x14ac:dyDescent="0.25">
      <c r="A595" s="16" t="s">
        <v>306</v>
      </c>
      <c r="B595" s="16" t="s">
        <v>454</v>
      </c>
      <c r="C595" s="77" t="str">
        <f>VLOOKUP(B595,IF(A595="COMPOSICAO",S!$A:$D,I!$A:$D),2,FALSE)</f>
        <v>TORNEIRA PARA LAVATÓRIO CROMADA, DECA, LINHA TARGA 1190C40 OU SIMILAR</v>
      </c>
      <c r="D595" s="77"/>
      <c r="E595" s="77"/>
      <c r="F595" s="77"/>
      <c r="G595" s="16" t="str">
        <f>VLOOKUP(B595,IF(A595="COMPOSICAO",S!$A:$D,I!$A:$D),3,FALSE)</f>
        <v>UN</v>
      </c>
      <c r="H595" s="22">
        <f>2</f>
        <v>2</v>
      </c>
      <c r="I595" s="17">
        <f>IF(A595="COMPOSICAO",VLOOKUP("TOTAL - "&amp;B595,COMPOSICAO_AUX_1!$A:$J,10,FALSE),VLOOKUP(B595,I!$A:$D,4,FALSE))</f>
        <v>82.84</v>
      </c>
      <c r="J595" s="80">
        <f t="shared" si="27"/>
        <v>165.68</v>
      </c>
      <c r="K595" s="81"/>
      <c r="L595" s="3"/>
      <c r="M595" s="3"/>
      <c r="N595" s="3"/>
    </row>
    <row r="596" spans="1:14" ht="30" customHeight="1" x14ac:dyDescent="0.25">
      <c r="A596" s="16" t="s">
        <v>306</v>
      </c>
      <c r="B596" s="16" t="s">
        <v>455</v>
      </c>
      <c r="C596" s="77" t="str">
        <f>VLOOKUP(B596,IF(A596="COMPOSICAO",S!$A:$D,I!$A:$D),2,FALSE)</f>
        <v>VÁLVULA DE ESCOAMENTO PARA LAVATÓRIO, DECA 1602C OU SIMILAR</v>
      </c>
      <c r="D596" s="77"/>
      <c r="E596" s="77"/>
      <c r="F596" s="77"/>
      <c r="G596" s="16" t="str">
        <f>VLOOKUP(B596,IF(A596="COMPOSICAO",S!$A:$D,I!$A:$D),3,FALSE)</f>
        <v>UN</v>
      </c>
      <c r="H596" s="22">
        <f>2</f>
        <v>2</v>
      </c>
      <c r="I596" s="17">
        <f>IF(A596="COMPOSICAO",VLOOKUP("TOTAL - "&amp;B596,COMPOSICAO_AUX_1!$A:$J,10,FALSE),VLOOKUP(B596,I!$A:$D,4,FALSE))</f>
        <v>43.98</v>
      </c>
      <c r="J596" s="80">
        <f t="shared" si="27"/>
        <v>87.96</v>
      </c>
      <c r="K596" s="81"/>
      <c r="L596" s="3"/>
      <c r="M596" s="3"/>
      <c r="N596" s="3"/>
    </row>
    <row r="597" spans="1:14" ht="30" customHeight="1" x14ac:dyDescent="0.25">
      <c r="A597" s="16" t="s">
        <v>306</v>
      </c>
      <c r="B597" s="16" t="s">
        <v>456</v>
      </c>
      <c r="C597" s="77" t="str">
        <f>VLOOKUP(B597,IF(A597="COMPOSICAO",S!$A:$D,I!$A:$D),2,FALSE)</f>
        <v>TAMPO/BANCADA DE GRANITO CINZA ANDORINHA, E=2CM</v>
      </c>
      <c r="D597" s="77"/>
      <c r="E597" s="77"/>
      <c r="F597" s="77"/>
      <c r="G597" s="16" t="str">
        <f>VLOOKUP(B597,IF(A597="COMPOSICAO",S!$A:$D,I!$A:$D),3,FALSE)</f>
        <v>M2</v>
      </c>
      <c r="H597" s="22">
        <f>0.9</f>
        <v>0.9</v>
      </c>
      <c r="I597" s="17">
        <f>IF(A597="COMPOSICAO",VLOOKUP("TOTAL - "&amp;B597,COMPOSICAO_AUX_1!$A:$J,10,FALSE),VLOOKUP(B597,I!$A:$D,4,FALSE))</f>
        <v>308</v>
      </c>
      <c r="J597" s="80">
        <f t="shared" si="27"/>
        <v>277.2</v>
      </c>
      <c r="K597" s="81"/>
      <c r="L597" s="3"/>
      <c r="M597" s="3"/>
      <c r="N597" s="3"/>
    </row>
    <row r="598" spans="1:14" ht="30" customHeight="1" x14ac:dyDescent="0.25">
      <c r="A598" s="16" t="s">
        <v>306</v>
      </c>
      <c r="B598" s="16" t="s">
        <v>457</v>
      </c>
      <c r="C598" s="77" t="str">
        <f>VLOOKUP(B598,IF(A598="COMPOSICAO",S!$A:$D,I!$A:$D),2,FALSE)</f>
        <v>RODOPIA EM GRANITO CINZA ANDORINHA, L=10CM, E=2CM, COM ACABAMENTO ABOLEADO</v>
      </c>
      <c r="D598" s="77"/>
      <c r="E598" s="77"/>
      <c r="F598" s="77"/>
      <c r="G598" s="16" t="str">
        <f>VLOOKUP(B598,IF(A598="COMPOSICAO",S!$A:$D,I!$A:$D),3,FALSE)</f>
        <v>M</v>
      </c>
      <c r="H598" s="22">
        <f>1.5</f>
        <v>1.5</v>
      </c>
      <c r="I598" s="17">
        <f>IF(A598="COMPOSICAO",VLOOKUP("TOTAL - "&amp;B598,COMPOSICAO_AUX_1!$A:$J,10,FALSE),VLOOKUP(B598,I!$A:$D,4,FALSE))</f>
        <v>52.8</v>
      </c>
      <c r="J598" s="80">
        <f t="shared" si="27"/>
        <v>79.2</v>
      </c>
      <c r="K598" s="81"/>
      <c r="L598" s="3"/>
      <c r="M598" s="3"/>
      <c r="N598" s="3"/>
    </row>
    <row r="599" spans="1:14" ht="30" customHeight="1" x14ac:dyDescent="0.25">
      <c r="A599" s="16" t="s">
        <v>306</v>
      </c>
      <c r="B599" s="16" t="s">
        <v>458</v>
      </c>
      <c r="C599" s="77" t="str">
        <f>VLOOKUP(B599,IF(A599="COMPOSICAO",S!$A:$D,I!$A:$D),2,FALSE)</f>
        <v>PERFIL ALUMÍNIO, TUBO RETANGULAR 50,80MM X 25,40MM X 1,20MM (0,484KG/M)</v>
      </c>
      <c r="D599" s="77"/>
      <c r="E599" s="77"/>
      <c r="F599" s="77"/>
      <c r="G599" s="16" t="str">
        <f>VLOOKUP(B599,IF(A599="COMPOSICAO",S!$A:$D,I!$A:$D),3,FALSE)</f>
        <v>M</v>
      </c>
      <c r="H599" s="22">
        <f>1.2</f>
        <v>1.2</v>
      </c>
      <c r="I599" s="17">
        <f>IF(A599="COMPOSICAO",VLOOKUP("TOTAL - "&amp;B599,COMPOSICAO_AUX_1!$A:$J,10,FALSE),VLOOKUP(B599,I!$A:$D,4,FALSE))</f>
        <v>6.86</v>
      </c>
      <c r="J599" s="80">
        <f t="shared" si="27"/>
        <v>8.23</v>
      </c>
      <c r="K599" s="81"/>
      <c r="L599" s="3"/>
      <c r="M599" s="3"/>
      <c r="N599" s="3"/>
    </row>
    <row r="600" spans="1:14" ht="30" customHeight="1" x14ac:dyDescent="0.25">
      <c r="A600" s="16" t="s">
        <v>306</v>
      </c>
      <c r="B600" s="16" t="s">
        <v>459</v>
      </c>
      <c r="C600" s="77" t="str">
        <f>VLOOKUP(B600,IF(A600="COMPOSICAO",S!$A:$D,I!$A:$D),2,FALSE)</f>
        <v>TESTEIRA EM GRANITO CINZA ANDORINHA, L=4 CM (DE TOPO) - FORNECIMENTO E COLOCAÇÃO</v>
      </c>
      <c r="D600" s="77"/>
      <c r="E600" s="77"/>
      <c r="F600" s="77"/>
      <c r="G600" s="16" t="str">
        <f>VLOOKUP(B600,IF(A600="COMPOSICAO",S!$A:$D,I!$A:$D),3,FALSE)</f>
        <v>M</v>
      </c>
      <c r="H600" s="22">
        <f>2.7</f>
        <v>2.7</v>
      </c>
      <c r="I600" s="17">
        <f>IF(A600="COMPOSICAO",VLOOKUP("TOTAL - "&amp;B600,COMPOSICAO_AUX_1!$A:$J,10,FALSE),VLOOKUP(B600,I!$A:$D,4,FALSE))</f>
        <v>23.32</v>
      </c>
      <c r="J600" s="80">
        <f t="shared" si="27"/>
        <v>62.96</v>
      </c>
      <c r="K600" s="81"/>
      <c r="L600" s="3"/>
      <c r="M600" s="3"/>
      <c r="N600" s="3"/>
    </row>
    <row r="601" spans="1:14" ht="30" customHeight="1" x14ac:dyDescent="0.25">
      <c r="A601" s="16" t="s">
        <v>306</v>
      </c>
      <c r="B601" s="16" t="s">
        <v>460</v>
      </c>
      <c r="C601" s="77" t="str">
        <f>VLOOKUP(B601,IF(A601="COMPOSICAO",S!$A:$D,I!$A:$D),2,FALSE)</f>
        <v>RASGO EM BANCADA DE MÁRMORE OU GRANITO PARA COLACAÇÃO DE CUBA</v>
      </c>
      <c r="D601" s="77"/>
      <c r="E601" s="77"/>
      <c r="F601" s="77"/>
      <c r="G601" s="16" t="str">
        <f>VLOOKUP(B601,IF(A601="COMPOSICAO",S!$A:$D,I!$A:$D),3,FALSE)</f>
        <v>UN</v>
      </c>
      <c r="H601" s="22">
        <f>2</f>
        <v>2</v>
      </c>
      <c r="I601" s="17">
        <f>IF(A601="COMPOSICAO",VLOOKUP("TOTAL - "&amp;B601,COMPOSICAO_AUX_1!$A:$J,10,FALSE),VLOOKUP(B601,I!$A:$D,4,FALSE))</f>
        <v>78.180000000000007</v>
      </c>
      <c r="J601" s="80">
        <f t="shared" si="27"/>
        <v>156.36000000000001</v>
      </c>
      <c r="K601" s="81"/>
      <c r="L601" s="3"/>
      <c r="M601" s="3"/>
      <c r="N601" s="3"/>
    </row>
    <row r="602" spans="1:14" ht="30" customHeight="1" x14ac:dyDescent="0.25">
      <c r="A602" s="16" t="s">
        <v>306</v>
      </c>
      <c r="B602" s="16" t="s">
        <v>461</v>
      </c>
      <c r="C602" s="77" t="str">
        <f>VLOOKUP(B602,IF(A602="COMPOSICAO",S!$A:$D,I!$A:$D),2,FALSE)</f>
        <v>FURO EM BANCADA DE MÁRMORE OU GRANITO PARA COLACAÇÃO DE TORNEIRA OU VÁLVULA</v>
      </c>
      <c r="D602" s="77"/>
      <c r="E602" s="77"/>
      <c r="F602" s="77"/>
      <c r="G602" s="16" t="str">
        <f>VLOOKUP(B602,IF(A602="COMPOSICAO",S!$A:$D,I!$A:$D),3,FALSE)</f>
        <v>UN</v>
      </c>
      <c r="H602" s="22">
        <f>2</f>
        <v>2</v>
      </c>
      <c r="I602" s="17">
        <f>IF(A602="COMPOSICAO",VLOOKUP("TOTAL - "&amp;B602,COMPOSICAO_AUX_1!$A:$J,10,FALSE),VLOOKUP(B602,I!$A:$D,4,FALSE))</f>
        <v>11.72</v>
      </c>
      <c r="J602" s="80">
        <f t="shared" si="27"/>
        <v>23.44</v>
      </c>
      <c r="K602" s="81"/>
      <c r="L602" s="3"/>
      <c r="M602" s="3"/>
      <c r="N602" s="3"/>
    </row>
    <row r="603" spans="1:14" ht="15" customHeight="1" x14ac:dyDescent="0.25">
      <c r="A603" s="16" t="s">
        <v>302</v>
      </c>
      <c r="B603" s="20">
        <v>88267</v>
      </c>
      <c r="C603" s="77" t="str">
        <f>VLOOKUP(B603,IF(A603="COMPOSICAO",S!$A:$D,I!$A:$D),2,FALSE)</f>
        <v>ENCANADOR OU BOMBEIRO HIDRÁULICO COM ENCARGOS COMPLEMENTARES</v>
      </c>
      <c r="D603" s="77"/>
      <c r="E603" s="77"/>
      <c r="F603" s="77"/>
      <c r="G603" s="16" t="str">
        <f>VLOOKUP(B603,IF(A603="COMPOSICAO",S!$A:$D,I!$A:$D),3,FALSE)</f>
        <v>H</v>
      </c>
      <c r="H603" s="22">
        <f>2</f>
        <v>2</v>
      </c>
      <c r="I603" s="17">
        <f>IF(A603="COMPOSICAO",VLOOKUP("TOTAL - "&amp;B603,COMPOSICAO_AUX_1!$A:$J,10,FALSE),VLOOKUP(B603,I!$A:$D,4,FALSE))</f>
        <v>19.37</v>
      </c>
      <c r="J603" s="80">
        <f t="shared" si="27"/>
        <v>38.74</v>
      </c>
      <c r="K603" s="81"/>
      <c r="L603" s="3"/>
      <c r="M603" s="3"/>
      <c r="N603" s="3"/>
    </row>
    <row r="604" spans="1:14" ht="15" customHeight="1" x14ac:dyDescent="0.25">
      <c r="A604" s="16" t="s">
        <v>302</v>
      </c>
      <c r="B604" s="20">
        <v>88309</v>
      </c>
      <c r="C604" s="77" t="str">
        <f>VLOOKUP(B604,IF(A604="COMPOSICAO",S!$A:$D,I!$A:$D),2,FALSE)</f>
        <v>PEDREIRO COM ENCARGOS COMPLEMENTARES</v>
      </c>
      <c r="D604" s="77"/>
      <c r="E604" s="77"/>
      <c r="F604" s="77"/>
      <c r="G604" s="16" t="str">
        <f>VLOOKUP(B604,IF(A604="COMPOSICAO",S!$A:$D,I!$A:$D),3,FALSE)</f>
        <v>H</v>
      </c>
      <c r="H604" s="22">
        <f>2</f>
        <v>2</v>
      </c>
      <c r="I604" s="17">
        <f>IF(A604="COMPOSICAO",VLOOKUP("TOTAL - "&amp;B604,COMPOSICAO_AUX_1!$A:$J,10,FALSE),VLOOKUP(B604,I!$A:$D,4,FALSE))</f>
        <v>19.849999999999994</v>
      </c>
      <c r="J604" s="80">
        <f t="shared" si="27"/>
        <v>39.700000000000003</v>
      </c>
      <c r="K604" s="81"/>
      <c r="L604" s="3"/>
      <c r="M604" s="3"/>
      <c r="N604" s="3"/>
    </row>
    <row r="605" spans="1:14" ht="15" customHeight="1" x14ac:dyDescent="0.25">
      <c r="A605" s="16" t="s">
        <v>302</v>
      </c>
      <c r="B605" s="20">
        <v>88316</v>
      </c>
      <c r="C605" s="77" t="str">
        <f>VLOOKUP(B605,IF(A605="COMPOSICAO",S!$A:$D,I!$A:$D),2,FALSE)</f>
        <v>SERVENTE COM ENCARGOS COMPLEMENTARES</v>
      </c>
      <c r="D605" s="77"/>
      <c r="E605" s="77"/>
      <c r="F605" s="77"/>
      <c r="G605" s="16" t="str">
        <f>VLOOKUP(B605,IF(A605="COMPOSICAO",S!$A:$D,I!$A:$D),3,FALSE)</f>
        <v>H</v>
      </c>
      <c r="H605" s="22">
        <f>2</f>
        <v>2</v>
      </c>
      <c r="I605" s="17">
        <f>IF(A605="COMPOSICAO",VLOOKUP("TOTAL - "&amp;B605,COMPOSICAO_AUX_1!$A:$J,10,FALSE),VLOOKUP(B605,I!$A:$D,4,FALSE))</f>
        <v>15.35</v>
      </c>
      <c r="J605" s="80">
        <f t="shared" si="27"/>
        <v>30.7</v>
      </c>
      <c r="K605" s="81"/>
      <c r="L605" s="3"/>
      <c r="M605" s="3"/>
      <c r="N605" s="3"/>
    </row>
    <row r="606" spans="1:14" ht="30" customHeight="1" x14ac:dyDescent="0.25">
      <c r="A606" s="16" t="s">
        <v>306</v>
      </c>
      <c r="B606" s="20">
        <v>6136</v>
      </c>
      <c r="C606" s="77" t="str">
        <f>VLOOKUP(B606,IF(A606="COMPOSICAO",S!$A:$D,I!$A:$D),2,FALSE)</f>
        <v>SIFAO EM METAL CROMADO PARA PIA OU LAVATORIO, 1 X 1.1/2 "</v>
      </c>
      <c r="D606" s="77"/>
      <c r="E606" s="77"/>
      <c r="F606" s="77"/>
      <c r="G606" s="16" t="str">
        <f>VLOOKUP(B606,IF(A606="COMPOSICAO",S!$A:$D,I!$A:$D),3,FALSE)</f>
        <v>UN</v>
      </c>
      <c r="H606" s="22">
        <f>2</f>
        <v>2</v>
      </c>
      <c r="I606" s="17">
        <f>IF(A606="COMPOSICAO",VLOOKUP("TOTAL - "&amp;B606,COMPOSICAO_AUX_1!$A:$J,10,FALSE),VLOOKUP(B606,I!$A:$D,4,FALSE))</f>
        <v>114</v>
      </c>
      <c r="J606" s="80">
        <f t="shared" si="27"/>
        <v>228</v>
      </c>
      <c r="K606" s="81"/>
      <c r="L606" s="3"/>
      <c r="M606" s="3"/>
      <c r="N606" s="3"/>
    </row>
    <row r="607" spans="1:14" ht="15" customHeight="1" x14ac:dyDescent="0.25">
      <c r="A607" s="16" t="s">
        <v>306</v>
      </c>
      <c r="B607" s="20">
        <v>11683</v>
      </c>
      <c r="C607" s="77" t="str">
        <f>VLOOKUP(B607,IF(A607="COMPOSICAO",S!$A:$D,I!$A:$D),2,FALSE)</f>
        <v>ENGATE / RABICHO FLEXIVEL INOX 1/2 " X 30 CM</v>
      </c>
      <c r="D607" s="77"/>
      <c r="E607" s="77"/>
      <c r="F607" s="77"/>
      <c r="G607" s="16" t="str">
        <f>VLOOKUP(B607,IF(A607="COMPOSICAO",S!$A:$D,I!$A:$D),3,FALSE)</f>
        <v>UN</v>
      </c>
      <c r="H607" s="22">
        <f>2</f>
        <v>2</v>
      </c>
      <c r="I607" s="17">
        <f>IF(A607="COMPOSICAO",VLOOKUP("TOTAL - "&amp;B607,COMPOSICAO_AUX_1!$A:$J,10,FALSE),VLOOKUP(B607,I!$A:$D,4,FALSE))</f>
        <v>26.14</v>
      </c>
      <c r="J607" s="80">
        <f t="shared" si="27"/>
        <v>52.28</v>
      </c>
      <c r="K607" s="81"/>
      <c r="L607" s="3"/>
      <c r="M607" s="3"/>
      <c r="N607" s="3"/>
    </row>
    <row r="608" spans="1:14" ht="15" customHeight="1" x14ac:dyDescent="0.25">
      <c r="A608" s="23" t="s">
        <v>303</v>
      </c>
      <c r="B608" s="24"/>
      <c r="C608" s="24"/>
      <c r="D608" s="24"/>
      <c r="E608" s="24"/>
      <c r="F608" s="24"/>
      <c r="G608" s="25"/>
      <c r="H608" s="26"/>
      <c r="I608" s="27"/>
      <c r="J608" s="80">
        <f>SUM(J593:K607)</f>
        <v>1350.2500000000002</v>
      </c>
      <c r="K608" s="81"/>
    </row>
    <row r="609" spans="1:14" ht="15" customHeight="1" x14ac:dyDescent="0.25">
      <c r="A609" s="23" t="str">
        <f>"TAXA DE BDI ("&amp;BDI&amp;" %)"</f>
        <v>TAXA DE BDI (20,8 %)</v>
      </c>
      <c r="B609" s="24"/>
      <c r="C609" s="24"/>
      <c r="D609" s="24"/>
      <c r="E609" s="24"/>
      <c r="F609" s="24"/>
      <c r="G609" s="25"/>
      <c r="H609" s="26"/>
      <c r="I609" s="27"/>
      <c r="J609" s="80">
        <f>ROUND(J608*(BDI/100),2)</f>
        <v>280.85000000000002</v>
      </c>
      <c r="K609" s="81"/>
    </row>
    <row r="610" spans="1:14" ht="15" customHeight="1" x14ac:dyDescent="0.25">
      <c r="A610" s="23" t="s">
        <v>462</v>
      </c>
      <c r="B610" s="24"/>
      <c r="C610" s="24"/>
      <c r="D610" s="24"/>
      <c r="E610" s="24"/>
      <c r="F610" s="24"/>
      <c r="G610" s="25"/>
      <c r="H610" s="26"/>
      <c r="I610" s="27"/>
      <c r="J610" s="80">
        <f>SUM(J608:K609)</f>
        <v>1631.1000000000004</v>
      </c>
      <c r="K610" s="81"/>
    </row>
    <row r="611" spans="1:14" ht="15" customHeight="1" x14ac:dyDescent="0.25">
      <c r="A611" s="3"/>
      <c r="B611" s="3"/>
      <c r="C611" s="3"/>
      <c r="D611" s="3"/>
      <c r="E611" s="3"/>
      <c r="F611" s="3"/>
      <c r="G611" s="3"/>
      <c r="H611" s="3"/>
      <c r="I611" s="3"/>
      <c r="J611" s="3"/>
      <c r="K611" s="3"/>
    </row>
    <row r="612" spans="1:14" ht="15" customHeight="1" x14ac:dyDescent="0.25">
      <c r="A612" s="10" t="s">
        <v>295</v>
      </c>
      <c r="B612" s="10" t="s">
        <v>31</v>
      </c>
      <c r="C612" s="82" t="s">
        <v>7</v>
      </c>
      <c r="D612" s="83"/>
      <c r="E612" s="83"/>
      <c r="F612" s="83"/>
      <c r="G612" s="6" t="s">
        <v>32</v>
      </c>
      <c r="H612" s="6" t="s">
        <v>296</v>
      </c>
      <c r="I612" s="6" t="s">
        <v>297</v>
      </c>
      <c r="J612" s="57" t="s">
        <v>9</v>
      </c>
      <c r="K612" s="58"/>
    </row>
    <row r="613" spans="1:14" ht="30" customHeight="1" x14ac:dyDescent="0.25">
      <c r="A613" s="6" t="s">
        <v>11</v>
      </c>
      <c r="B613" s="6" t="s">
        <v>463</v>
      </c>
      <c r="C613" s="91" t="str">
        <f>VLOOKUP(B613,S!$A:$D,2,FALSE)</f>
        <v>CHUVEIRO SIMPLES DE PLÁSTICO (HERC REF 1980 OU SIMILAR), C/ REGISTRO DE PRESSÃO DE PVC</v>
      </c>
      <c r="D613" s="91"/>
      <c r="E613" s="91"/>
      <c r="F613" s="92"/>
      <c r="G613" s="6" t="str">
        <f>VLOOKUP(B613,S!$A:$D,3,FALSE)</f>
        <v>UN</v>
      </c>
      <c r="H613" s="21"/>
      <c r="I613" s="21">
        <f>J620</f>
        <v>49.53</v>
      </c>
      <c r="J613" s="76"/>
      <c r="K613" s="72"/>
      <c r="L613" s="21">
        <f>VLOOKUP(B613,S!$A:$D,4,FALSE)</f>
        <v>48.05</v>
      </c>
      <c r="M613" s="6" t="str">
        <f>IF(ROUND((L613-I613),2)=0,"OK, confere com a tabela.",IF(ROUND((L613-I613),2)&lt;0,"ACIMA ("&amp;TEXT(ROUND(I613*100/L613,4),"0,0000")&amp;" %) da tabela.","ABAIXO ("&amp;TEXT(ROUND(I613*100/L613,4),"0,0000")&amp;" %) da tabela."))</f>
        <v>ACIMA (103,0801 %) da tabela.</v>
      </c>
    </row>
    <row r="614" spans="1:14" ht="15" customHeight="1" x14ac:dyDescent="0.25">
      <c r="A614" s="16" t="s">
        <v>306</v>
      </c>
      <c r="B614" s="16" t="s">
        <v>416</v>
      </c>
      <c r="C614" s="77" t="str">
        <f>VLOOKUP(B614,IF(A614="COMPOSICAO",S!$A:$D,I!$A:$D),2,FALSE)</f>
        <v>FITA VEDA ROSCA 18MM</v>
      </c>
      <c r="D614" s="77"/>
      <c r="E614" s="77"/>
      <c r="F614" s="77"/>
      <c r="G614" s="16" t="str">
        <f>VLOOKUP(B614,IF(A614="COMPOSICAO",S!$A:$D,I!$A:$D),3,FALSE)</f>
        <v>M</v>
      </c>
      <c r="H614" s="22">
        <f>0.84</f>
        <v>0.84</v>
      </c>
      <c r="I614" s="17">
        <f>IF(A614="COMPOSICAO",VLOOKUP("TOTAL - "&amp;B614,COMPOSICAO_AUX_1!$A:$J,10,FALSE),VLOOKUP(B614,I!$A:$D,4,FALSE))</f>
        <v>0.28999999999999998</v>
      </c>
      <c r="J614" s="80">
        <f t="shared" ref="J614:J619" si="28">TRUNC(H614*I614,2)</f>
        <v>0.24</v>
      </c>
      <c r="K614" s="81"/>
      <c r="L614" s="3"/>
      <c r="M614" s="3"/>
      <c r="N614" s="3"/>
    </row>
    <row r="615" spans="1:14" ht="15" customHeight="1" x14ac:dyDescent="0.25">
      <c r="A615" s="16" t="s">
        <v>302</v>
      </c>
      <c r="B615" s="20">
        <v>88267</v>
      </c>
      <c r="C615" s="77" t="str">
        <f>VLOOKUP(B615,IF(A615="COMPOSICAO",S!$A:$D,I!$A:$D),2,FALSE)</f>
        <v>ENCANADOR OU BOMBEIRO HIDRÁULICO COM ENCARGOS COMPLEMENTARES</v>
      </c>
      <c r="D615" s="77"/>
      <c r="E615" s="77"/>
      <c r="F615" s="77"/>
      <c r="G615" s="16" t="str">
        <f>VLOOKUP(B615,IF(A615="COMPOSICAO",S!$A:$D,I!$A:$D),3,FALSE)</f>
        <v>H</v>
      </c>
      <c r="H615" s="22">
        <f>1</f>
        <v>1</v>
      </c>
      <c r="I615" s="17">
        <f>IF(A615="COMPOSICAO",VLOOKUP("TOTAL - "&amp;B615,COMPOSICAO_AUX_1!$A:$J,10,FALSE),VLOOKUP(B615,I!$A:$D,4,FALSE))</f>
        <v>19.37</v>
      </c>
      <c r="J615" s="80">
        <f t="shared" si="28"/>
        <v>19.37</v>
      </c>
      <c r="K615" s="81"/>
      <c r="L615" s="3"/>
      <c r="M615" s="3"/>
      <c r="N615" s="3"/>
    </row>
    <row r="616" spans="1:14" ht="30" customHeight="1" x14ac:dyDescent="0.25">
      <c r="A616" s="16" t="s">
        <v>306</v>
      </c>
      <c r="B616" s="20">
        <v>6038</v>
      </c>
      <c r="C616" s="77" t="str">
        <f>VLOOKUP(B616,IF(A616="COMPOSICAO",S!$A:$D,I!$A:$D),2,FALSE)</f>
        <v>REGISTRO DE PRESSAO PVC, ROSCAVEL, VOLANTE SIMPLES, DE 1/2"</v>
      </c>
      <c r="D616" s="77"/>
      <c r="E616" s="77"/>
      <c r="F616" s="77"/>
      <c r="G616" s="16" t="str">
        <f>VLOOKUP(B616,IF(A616="COMPOSICAO",S!$A:$D,I!$A:$D),3,FALSE)</f>
        <v>UN</v>
      </c>
      <c r="H616" s="22">
        <f>1</f>
        <v>1</v>
      </c>
      <c r="I616" s="17">
        <f>IF(A616="COMPOSICAO",VLOOKUP("TOTAL - "&amp;B616,COMPOSICAO_AUX_1!$A:$J,10,FALSE),VLOOKUP(B616,I!$A:$D,4,FALSE))</f>
        <v>5.76</v>
      </c>
      <c r="J616" s="80">
        <f t="shared" si="28"/>
        <v>5.76</v>
      </c>
      <c r="K616" s="81"/>
      <c r="L616" s="3"/>
      <c r="M616" s="3"/>
      <c r="N616" s="3"/>
    </row>
    <row r="617" spans="1:14" ht="15" customHeight="1" x14ac:dyDescent="0.25">
      <c r="A617" s="16" t="s">
        <v>302</v>
      </c>
      <c r="B617" s="20">
        <v>88316</v>
      </c>
      <c r="C617" s="77" t="str">
        <f>VLOOKUP(B617,IF(A617="COMPOSICAO",S!$A:$D,I!$A:$D),2,FALSE)</f>
        <v>SERVENTE COM ENCARGOS COMPLEMENTARES</v>
      </c>
      <c r="D617" s="77"/>
      <c r="E617" s="77"/>
      <c r="F617" s="77"/>
      <c r="G617" s="16" t="str">
        <f>VLOOKUP(B617,IF(A617="COMPOSICAO",S!$A:$D,I!$A:$D),3,FALSE)</f>
        <v>H</v>
      </c>
      <c r="H617" s="22">
        <f>1</f>
        <v>1</v>
      </c>
      <c r="I617" s="17">
        <f>IF(A617="COMPOSICAO",VLOOKUP("TOTAL - "&amp;B617,COMPOSICAO_AUX_1!$A:$J,10,FALSE),VLOOKUP(B617,I!$A:$D,4,FALSE))</f>
        <v>15.35</v>
      </c>
      <c r="J617" s="80">
        <f t="shared" si="28"/>
        <v>15.35</v>
      </c>
      <c r="K617" s="81"/>
      <c r="L617" s="3"/>
      <c r="M617" s="3"/>
      <c r="N617" s="3"/>
    </row>
    <row r="618" spans="1:14" ht="30" customHeight="1" x14ac:dyDescent="0.25">
      <c r="A618" s="16" t="s">
        <v>306</v>
      </c>
      <c r="B618" s="20">
        <v>7608</v>
      </c>
      <c r="C618" s="77" t="str">
        <f>VLOOKUP(B618,IF(A618="COMPOSICAO",S!$A:$D,I!$A:$D),2,FALSE)</f>
        <v>CHUVEIRO PLASTICO BRANCO SIMPLES 5 " PARA ACOPLAR EM HASTE 1/2 ", AGUA FRIA</v>
      </c>
      <c r="D618" s="77"/>
      <c r="E618" s="77"/>
      <c r="F618" s="77"/>
      <c r="G618" s="16" t="str">
        <f>VLOOKUP(B618,IF(A618="COMPOSICAO",S!$A:$D,I!$A:$D),3,FALSE)</f>
        <v>UN</v>
      </c>
      <c r="H618" s="22">
        <f>1</f>
        <v>1</v>
      </c>
      <c r="I618" s="17">
        <f>IF(A618="COMPOSICAO",VLOOKUP("TOTAL - "&amp;B618,COMPOSICAO_AUX_1!$A:$J,10,FALSE),VLOOKUP(B618,I!$A:$D,4,FALSE))</f>
        <v>4.07</v>
      </c>
      <c r="J618" s="80">
        <f t="shared" si="28"/>
        <v>4.07</v>
      </c>
      <c r="K618" s="81"/>
      <c r="L618" s="3"/>
      <c r="M618" s="3"/>
      <c r="N618" s="3"/>
    </row>
    <row r="619" spans="1:14" ht="30" customHeight="1" x14ac:dyDescent="0.25">
      <c r="A619" s="16" t="s">
        <v>306</v>
      </c>
      <c r="B619" s="20">
        <v>11680</v>
      </c>
      <c r="C619" s="77" t="str">
        <f>VLOOKUP(B619,IF(A619="COMPOSICAO",S!$A:$D,I!$A:$D),2,FALSE)</f>
        <v>BRACO OU HASTE COM CANOPLA PLASTICA, 1/2 ", PARA CHUVEIRO SIMPLES</v>
      </c>
      <c r="D619" s="77"/>
      <c r="E619" s="77"/>
      <c r="F619" s="77"/>
      <c r="G619" s="16" t="str">
        <f>VLOOKUP(B619,IF(A619="COMPOSICAO",S!$A:$D,I!$A:$D),3,FALSE)</f>
        <v>UN</v>
      </c>
      <c r="H619" s="22">
        <f>1</f>
        <v>1</v>
      </c>
      <c r="I619" s="17">
        <f>IF(A619="COMPOSICAO",VLOOKUP("TOTAL - "&amp;B619,COMPOSICAO_AUX_1!$A:$J,10,FALSE),VLOOKUP(B619,I!$A:$D,4,FALSE))</f>
        <v>4.74</v>
      </c>
      <c r="J619" s="80">
        <f t="shared" si="28"/>
        <v>4.74</v>
      </c>
      <c r="K619" s="81"/>
      <c r="L619" s="3"/>
      <c r="M619" s="3"/>
      <c r="N619" s="3"/>
    </row>
    <row r="620" spans="1:14" ht="15" customHeight="1" x14ac:dyDescent="0.25">
      <c r="A620" s="23" t="s">
        <v>303</v>
      </c>
      <c r="B620" s="24"/>
      <c r="C620" s="24"/>
      <c r="D620" s="24"/>
      <c r="E620" s="24"/>
      <c r="F620" s="24"/>
      <c r="G620" s="25"/>
      <c r="H620" s="26"/>
      <c r="I620" s="27"/>
      <c r="J620" s="80">
        <f>SUM(J613:K619)</f>
        <v>49.53</v>
      </c>
      <c r="K620" s="81"/>
    </row>
    <row r="621" spans="1:14" ht="15" customHeight="1" x14ac:dyDescent="0.25">
      <c r="A621" s="23" t="str">
        <f>"TAXA DE BDI ("&amp;BDI&amp;" %)"</f>
        <v>TAXA DE BDI (20,8 %)</v>
      </c>
      <c r="B621" s="24"/>
      <c r="C621" s="24"/>
      <c r="D621" s="24"/>
      <c r="E621" s="24"/>
      <c r="F621" s="24"/>
      <c r="G621" s="25"/>
      <c r="H621" s="26"/>
      <c r="I621" s="27"/>
      <c r="J621" s="80">
        <f>ROUND(J620*(BDI/100),2)</f>
        <v>10.3</v>
      </c>
      <c r="K621" s="81"/>
    </row>
    <row r="622" spans="1:14" ht="15" customHeight="1" x14ac:dyDescent="0.25">
      <c r="A622" s="23" t="s">
        <v>464</v>
      </c>
      <c r="B622" s="24"/>
      <c r="C622" s="24"/>
      <c r="D622" s="24"/>
      <c r="E622" s="24"/>
      <c r="F622" s="24"/>
      <c r="G622" s="25"/>
      <c r="H622" s="26"/>
      <c r="I622" s="27"/>
      <c r="J622" s="80">
        <f>SUM(J620:K621)</f>
        <v>59.83</v>
      </c>
      <c r="K622" s="81"/>
    </row>
    <row r="623" spans="1:14" ht="15" customHeight="1" x14ac:dyDescent="0.25">
      <c r="A623" s="3"/>
      <c r="B623" s="3"/>
      <c r="C623" s="3"/>
      <c r="D623" s="3"/>
      <c r="E623" s="3"/>
      <c r="F623" s="3"/>
      <c r="G623" s="3"/>
      <c r="H623" s="3"/>
      <c r="I623" s="3"/>
      <c r="J623" s="3"/>
      <c r="K623" s="3"/>
    </row>
    <row r="624" spans="1:14" ht="15" customHeight="1" x14ac:dyDescent="0.25">
      <c r="A624" s="10" t="s">
        <v>295</v>
      </c>
      <c r="B624" s="10" t="s">
        <v>31</v>
      </c>
      <c r="C624" s="82" t="s">
        <v>7</v>
      </c>
      <c r="D624" s="83"/>
      <c r="E624" s="83"/>
      <c r="F624" s="83"/>
      <c r="G624" s="6" t="s">
        <v>32</v>
      </c>
      <c r="H624" s="6" t="s">
        <v>296</v>
      </c>
      <c r="I624" s="6" t="s">
        <v>297</v>
      </c>
      <c r="J624" s="57" t="s">
        <v>9</v>
      </c>
      <c r="K624" s="58"/>
    </row>
    <row r="625" spans="1:14" ht="45" customHeight="1" x14ac:dyDescent="0.25">
      <c r="A625" s="6" t="s">
        <v>11</v>
      </c>
      <c r="B625" s="6" t="s">
        <v>465</v>
      </c>
      <c r="C625" s="91" t="str">
        <f>VLOOKUP(B625,S!$A:$D,2,FALSE)</f>
        <v>QUADRO DE DISTRIBUIÇÃO DE EMBUTIR, EM CHAPA DE AÇO, PARA ATÉ 12 DISJUNTORES, COM BARRAMENTO, PADRÃO DIN, EXCLUSIVE DISJUNTORES</v>
      </c>
      <c r="D625" s="91"/>
      <c r="E625" s="91"/>
      <c r="F625" s="92"/>
      <c r="G625" s="6" t="str">
        <f>VLOOKUP(B625,S!$A:$D,3,FALSE)</f>
        <v>UN</v>
      </c>
      <c r="H625" s="21"/>
      <c r="I625" s="21">
        <f>J631</f>
        <v>613.64</v>
      </c>
      <c r="J625" s="76"/>
      <c r="K625" s="72"/>
      <c r="L625" s="21">
        <f>VLOOKUP(B625,S!$A:$D,4,FALSE)</f>
        <v>605.94000000000005</v>
      </c>
      <c r="M625" s="6" t="str">
        <f>IF(ROUND((L625-I625),2)=0,"OK, confere com a tabela.",IF(ROUND((L625-I625),2)&lt;0,"ACIMA ("&amp;TEXT(ROUND(I625*100/L625,4),"0,0000")&amp;" %) da tabela.","ABAIXO ("&amp;TEXT(ROUND(I625*100/L625,4),"0,0000")&amp;" %) da tabela."))</f>
        <v>ACIMA (101,2708 %) da tabela.</v>
      </c>
    </row>
    <row r="626" spans="1:14" ht="45" customHeight="1" x14ac:dyDescent="0.25">
      <c r="A626" s="16" t="s">
        <v>306</v>
      </c>
      <c r="B626" s="16" t="s">
        <v>466</v>
      </c>
      <c r="C626" s="77" t="str">
        <f>VLOOKUP(B626,IF(A626="COMPOSICAO",S!$A:$D,I!$A:$D),2,FALSE)</f>
        <v>QUADRO DE DISTRIBUIÇÃO DE EMBUTIR EM CHAPA DE AÇO, P/ATÉ 12 DISJUNTORES C/BARRAMENTO, PADRÃO DIN, REF.904301, CEMAR OU SIMILAR</v>
      </c>
      <c r="D626" s="77"/>
      <c r="E626" s="77"/>
      <c r="F626" s="77"/>
      <c r="G626" s="16" t="str">
        <f>VLOOKUP(B626,IF(A626="COMPOSICAO",S!$A:$D,I!$A:$D),3,FALSE)</f>
        <v>UN</v>
      </c>
      <c r="H626" s="22">
        <f>1</f>
        <v>1</v>
      </c>
      <c r="I626" s="17">
        <f>IF(A626="COMPOSICAO",VLOOKUP("TOTAL - "&amp;B626,COMPOSICAO_AUX_1!$A:$J,10,FALSE),VLOOKUP(B626,I!$A:$D,4,FALSE))</f>
        <v>555.20000000000005</v>
      </c>
      <c r="J626" s="80">
        <f t="shared" ref="J626:J630" si="29">TRUNC(H626*I626,2)</f>
        <v>555.20000000000005</v>
      </c>
      <c r="K626" s="81"/>
      <c r="L626" s="3"/>
      <c r="M626" s="3"/>
      <c r="N626" s="3"/>
    </row>
    <row r="627" spans="1:14" ht="15" customHeight="1" x14ac:dyDescent="0.25">
      <c r="A627" s="16" t="s">
        <v>302</v>
      </c>
      <c r="B627" s="20">
        <v>88264</v>
      </c>
      <c r="C627" s="77" t="str">
        <f>VLOOKUP(B627,IF(A627="COMPOSICAO",S!$A:$D,I!$A:$D),2,FALSE)</f>
        <v>ELETRICISTA COM ENCARGOS COMPLEMENTARES</v>
      </c>
      <c r="D627" s="77"/>
      <c r="E627" s="77"/>
      <c r="F627" s="77"/>
      <c r="G627" s="16" t="str">
        <f>VLOOKUP(B627,IF(A627="COMPOSICAO",S!$A:$D,I!$A:$D),3,FALSE)</f>
        <v>H</v>
      </c>
      <c r="H627" s="22">
        <f>1.4</f>
        <v>1.4</v>
      </c>
      <c r="I627" s="17">
        <f>IF(A627="COMPOSICAO",VLOOKUP("TOTAL - "&amp;B627,COMPOSICAO_AUX_1!$A:$J,10,FALSE),VLOOKUP(B627,I!$A:$D,4,FALSE))</f>
        <v>20.02</v>
      </c>
      <c r="J627" s="80">
        <f t="shared" si="29"/>
        <v>28.02</v>
      </c>
      <c r="K627" s="81"/>
      <c r="L627" s="3"/>
      <c r="M627" s="3"/>
      <c r="N627" s="3"/>
    </row>
    <row r="628" spans="1:14" ht="15" customHeight="1" x14ac:dyDescent="0.25">
      <c r="A628" s="16" t="s">
        <v>302</v>
      </c>
      <c r="B628" s="20">
        <v>88309</v>
      </c>
      <c r="C628" s="77" t="str">
        <f>VLOOKUP(B628,IF(A628="COMPOSICAO",S!$A:$D,I!$A:$D),2,FALSE)</f>
        <v>PEDREIRO COM ENCARGOS COMPLEMENTARES</v>
      </c>
      <c r="D628" s="77"/>
      <c r="E628" s="77"/>
      <c r="F628" s="77"/>
      <c r="G628" s="16" t="str">
        <f>VLOOKUP(B628,IF(A628="COMPOSICAO",S!$A:$D,I!$A:$D),3,FALSE)</f>
        <v>H</v>
      </c>
      <c r="H628" s="22">
        <f>0.6</f>
        <v>0.6</v>
      </c>
      <c r="I628" s="17">
        <f>IF(A628="COMPOSICAO",VLOOKUP("TOTAL - "&amp;B628,COMPOSICAO_AUX_1!$A:$J,10,FALSE),VLOOKUP(B628,I!$A:$D,4,FALSE))</f>
        <v>19.849999999999994</v>
      </c>
      <c r="J628" s="80">
        <f t="shared" si="29"/>
        <v>11.91</v>
      </c>
      <c r="K628" s="81"/>
      <c r="L628" s="3"/>
      <c r="M628" s="3"/>
      <c r="N628" s="3"/>
    </row>
    <row r="629" spans="1:14" ht="15" customHeight="1" x14ac:dyDescent="0.25">
      <c r="A629" s="16" t="s">
        <v>302</v>
      </c>
      <c r="B629" s="20">
        <v>88316</v>
      </c>
      <c r="C629" s="77" t="str">
        <f>VLOOKUP(B629,IF(A629="COMPOSICAO",S!$A:$D,I!$A:$D),2,FALSE)</f>
        <v>SERVENTE COM ENCARGOS COMPLEMENTARES</v>
      </c>
      <c r="D629" s="77"/>
      <c r="E629" s="77"/>
      <c r="F629" s="77"/>
      <c r="G629" s="16" t="str">
        <f>VLOOKUP(B629,IF(A629="COMPOSICAO",S!$A:$D,I!$A:$D),3,FALSE)</f>
        <v>H</v>
      </c>
      <c r="H629" s="22">
        <f>0.9</f>
        <v>0.9</v>
      </c>
      <c r="I629" s="17">
        <f>IF(A629="COMPOSICAO",VLOOKUP("TOTAL - "&amp;B629,COMPOSICAO_AUX_1!$A:$J,10,FALSE),VLOOKUP(B629,I!$A:$D,4,FALSE))</f>
        <v>15.35</v>
      </c>
      <c r="J629" s="80">
        <f t="shared" si="29"/>
        <v>13.81</v>
      </c>
      <c r="K629" s="81"/>
      <c r="L629" s="3"/>
      <c r="M629" s="3"/>
      <c r="N629" s="3"/>
    </row>
    <row r="630" spans="1:14" ht="75" customHeight="1" x14ac:dyDescent="0.25">
      <c r="A630" s="16" t="s">
        <v>302</v>
      </c>
      <c r="B630" s="20">
        <v>87296</v>
      </c>
      <c r="C630" s="77" t="str">
        <f>VLOOKUP(B630,IF(A630="COMPOSICAO",S!$A:$D,I!$A:$D),2,FALSE)</f>
        <v>ARGAMASSA TRAÇO 1:3:12 (EM VOLUME DE CIMENTO, CAL E AREIA MÉDIA ÚMIDA) PARA EMBOÇO/MASSA ÚNICA/ASSENTAMENTO DE ALVENARIA DE VEDAÇÃO, PREPARO MECÂNICO COM BETONEIRA 600 L. AF_08/2019</v>
      </c>
      <c r="D630" s="77"/>
      <c r="E630" s="77"/>
      <c r="F630" s="77"/>
      <c r="G630" s="16" t="str">
        <f>VLOOKUP(B630,IF(A630="COMPOSICAO",S!$A:$D,I!$A:$D),3,FALSE)</f>
        <v>M3</v>
      </c>
      <c r="H630" s="22">
        <f>0.011</f>
        <v>1.0999999999999999E-2</v>
      </c>
      <c r="I630" s="17">
        <f>IF(A630="COMPOSICAO",VLOOKUP("TOTAL - "&amp;B630,COMPOSICAO_AUX_1!$A:$J,10,FALSE),VLOOKUP(B630,I!$A:$D,4,FALSE))</f>
        <v>427.45000000000005</v>
      </c>
      <c r="J630" s="80">
        <f t="shared" si="29"/>
        <v>4.7</v>
      </c>
      <c r="K630" s="81"/>
      <c r="L630" s="3"/>
      <c r="M630" s="3"/>
      <c r="N630" s="3"/>
    </row>
    <row r="631" spans="1:14" ht="15" customHeight="1" x14ac:dyDescent="0.25">
      <c r="A631" s="23" t="s">
        <v>303</v>
      </c>
      <c r="B631" s="24"/>
      <c r="C631" s="24"/>
      <c r="D631" s="24"/>
      <c r="E631" s="24"/>
      <c r="F631" s="24"/>
      <c r="G631" s="25"/>
      <c r="H631" s="26"/>
      <c r="I631" s="27"/>
      <c r="J631" s="80">
        <f>SUM(J625:K630)</f>
        <v>613.64</v>
      </c>
      <c r="K631" s="81"/>
    </row>
    <row r="632" spans="1:14" ht="15" customHeight="1" x14ac:dyDescent="0.25">
      <c r="A632" s="23" t="str">
        <f>"TAXA DE BDI ("&amp;BDI&amp;" %)"</f>
        <v>TAXA DE BDI (20,8 %)</v>
      </c>
      <c r="B632" s="24"/>
      <c r="C632" s="24"/>
      <c r="D632" s="24"/>
      <c r="E632" s="24"/>
      <c r="F632" s="24"/>
      <c r="G632" s="25"/>
      <c r="H632" s="26"/>
      <c r="I632" s="27"/>
      <c r="J632" s="80">
        <f>ROUND(J631*(BDI/100),2)</f>
        <v>127.64</v>
      </c>
      <c r="K632" s="81"/>
    </row>
    <row r="633" spans="1:14" ht="15" customHeight="1" x14ac:dyDescent="0.25">
      <c r="A633" s="23" t="s">
        <v>468</v>
      </c>
      <c r="B633" s="24"/>
      <c r="C633" s="24"/>
      <c r="D633" s="24"/>
      <c r="E633" s="24"/>
      <c r="F633" s="24"/>
      <c r="G633" s="25"/>
      <c r="H633" s="26"/>
      <c r="I633" s="27"/>
      <c r="J633" s="80">
        <f>SUM(J631:K632)</f>
        <v>741.28</v>
      </c>
      <c r="K633" s="81"/>
    </row>
    <row r="634" spans="1:14" ht="15" customHeight="1" x14ac:dyDescent="0.25">
      <c r="A634" s="3"/>
      <c r="B634" s="3"/>
      <c r="C634" s="3"/>
      <c r="D634" s="3"/>
      <c r="E634" s="3"/>
      <c r="F634" s="3"/>
      <c r="G634" s="3"/>
      <c r="H634" s="3"/>
      <c r="I634" s="3"/>
      <c r="J634" s="3"/>
      <c r="K634" s="3"/>
    </row>
    <row r="635" spans="1:14" ht="15" customHeight="1" x14ac:dyDescent="0.25">
      <c r="A635" s="10" t="s">
        <v>295</v>
      </c>
      <c r="B635" s="10" t="s">
        <v>31</v>
      </c>
      <c r="C635" s="82" t="s">
        <v>7</v>
      </c>
      <c r="D635" s="83"/>
      <c r="E635" s="83"/>
      <c r="F635" s="83"/>
      <c r="G635" s="6" t="s">
        <v>32</v>
      </c>
      <c r="H635" s="6" t="s">
        <v>296</v>
      </c>
      <c r="I635" s="6" t="s">
        <v>297</v>
      </c>
      <c r="J635" s="57" t="s">
        <v>9</v>
      </c>
      <c r="K635" s="58"/>
    </row>
    <row r="636" spans="1:14" ht="45" customHeight="1" x14ac:dyDescent="0.25">
      <c r="A636" s="6" t="s">
        <v>469</v>
      </c>
      <c r="B636" s="28">
        <v>101890</v>
      </c>
      <c r="C636" s="91" t="str">
        <f>VLOOKUP(B636,S!$A:$D,2,FALSE)</f>
        <v>DISJUNTOR MONOPOLAR TIPO NEMA, CORRENTE NOMINAL DE 10 ATÉ 30A - FORNECIMENTO E INSTALAÇÃO. AF_10/2020</v>
      </c>
      <c r="D636" s="91"/>
      <c r="E636" s="91"/>
      <c r="F636" s="92"/>
      <c r="G636" s="6" t="str">
        <f>VLOOKUP(B636,S!$A:$D,3,FALSE)</f>
        <v>UN</v>
      </c>
      <c r="H636" s="21"/>
      <c r="I636" s="21">
        <f>J641</f>
        <v>15.940000000000001</v>
      </c>
      <c r="J636" s="76"/>
      <c r="K636" s="72"/>
      <c r="L636" s="21">
        <f>VLOOKUP(B636,S!$A:$D,4,FALSE)</f>
        <v>15.94</v>
      </c>
      <c r="M636" s="6" t="str">
        <f>IF(ROUND((L636-I636),2)=0,"OK, confere com a tabela.",IF(ROUND((L636-I636),2)&lt;0,"ACIMA ("&amp;TEXT(ROUND(I636*100/L636,4),"0,0000")&amp;" %) da tabela.","ABAIXO ("&amp;TEXT(ROUND(I636*100/L636,4),"0,0000")&amp;" %) da tabela."))</f>
        <v>OK, confere com a tabela.</v>
      </c>
    </row>
    <row r="637" spans="1:14" ht="45" customHeight="1" x14ac:dyDescent="0.25">
      <c r="A637" s="16" t="s">
        <v>306</v>
      </c>
      <c r="B637" s="20">
        <v>1571</v>
      </c>
      <c r="C637" s="77" t="str">
        <f>VLOOKUP(B637,IF(A637="COMPOSICAO",S!$A:$D,I!$A:$D),2,FALSE)</f>
        <v>TERMINAL A COMPRESSAO EM COBRE ESTANHADO PARA CABO 4 MM2, 1 FURO E 1 COMPRESSAO, PARA PARAFUSO DE FIXACAO M5</v>
      </c>
      <c r="D637" s="77"/>
      <c r="E637" s="77"/>
      <c r="F637" s="77"/>
      <c r="G637" s="16" t="str">
        <f>VLOOKUP(B637,IF(A637="COMPOSICAO",S!$A:$D,I!$A:$D),3,FALSE)</f>
        <v>UN</v>
      </c>
      <c r="H637" s="22">
        <f>1</f>
        <v>1</v>
      </c>
      <c r="I637" s="17">
        <f>IF(A637="COMPOSICAO",VLOOKUP("TOTAL - "&amp;B637,COMPOSICAO_AUX_1!$A:$J,10,FALSE),VLOOKUP(B637,I!$A:$D,4,FALSE))</f>
        <v>1.3</v>
      </c>
      <c r="J637" s="80">
        <f>TRUNC(H637*I637,2)</f>
        <v>1.3</v>
      </c>
      <c r="K637" s="81"/>
      <c r="L637" s="3"/>
      <c r="M637" s="3"/>
      <c r="N637" s="3"/>
    </row>
    <row r="638" spans="1:14" ht="30" customHeight="1" x14ac:dyDescent="0.25">
      <c r="A638" s="16" t="s">
        <v>306</v>
      </c>
      <c r="B638" s="20">
        <v>2370</v>
      </c>
      <c r="C638" s="77" t="str">
        <f>VLOOKUP(B638,IF(A638="COMPOSICAO",S!$A:$D,I!$A:$D),2,FALSE)</f>
        <v>DISJUNTOR TIPO NEMA, MONOPOLAR 10 ATE 30A, TENSAO MAXIMA DE 240 V</v>
      </c>
      <c r="D638" s="77"/>
      <c r="E638" s="77"/>
      <c r="F638" s="77"/>
      <c r="G638" s="16" t="str">
        <f>VLOOKUP(B638,IF(A638="COMPOSICAO",S!$A:$D,I!$A:$D),3,FALSE)</f>
        <v>UN</v>
      </c>
      <c r="H638" s="22">
        <f>1</f>
        <v>1</v>
      </c>
      <c r="I638" s="17">
        <f>IF(A638="COMPOSICAO",VLOOKUP("TOTAL - "&amp;B638,COMPOSICAO_AUX_1!$A:$J,10,FALSE),VLOOKUP(B638,I!$A:$D,4,FALSE))</f>
        <v>12.3</v>
      </c>
      <c r="J638" s="80">
        <f>TRUNC(H638*I638,2)</f>
        <v>12.3</v>
      </c>
      <c r="K638" s="81"/>
      <c r="L638" s="3"/>
      <c r="M638" s="3"/>
      <c r="N638" s="3"/>
    </row>
    <row r="639" spans="1:14" ht="30" customHeight="1" x14ac:dyDescent="0.25">
      <c r="A639" s="16" t="s">
        <v>302</v>
      </c>
      <c r="B639" s="20">
        <v>88247</v>
      </c>
      <c r="C639" s="77" t="str">
        <f>VLOOKUP(B639,IF(A639="COMPOSICAO",S!$A:$D,I!$A:$D),2,FALSE)</f>
        <v>AUXILIAR DE ELETRICISTA COM ENCARGOS COMPLEMENTARES</v>
      </c>
      <c r="D639" s="77"/>
      <c r="E639" s="77"/>
      <c r="F639" s="77"/>
      <c r="G639" s="16" t="str">
        <f>VLOOKUP(B639,IF(A639="COMPOSICAO",S!$A:$D,I!$A:$D),3,FALSE)</f>
        <v>H</v>
      </c>
      <c r="H639" s="22">
        <f>0.0663</f>
        <v>6.6299999999999998E-2</v>
      </c>
      <c r="I639" s="17">
        <f>IF(A639="COMPOSICAO",VLOOKUP("TOTAL - "&amp;B639,COMPOSICAO_AUX_1!$A:$J,10,FALSE),VLOOKUP(B639,I!$A:$D,4,FALSE))</f>
        <v>15.469999999999999</v>
      </c>
      <c r="J639" s="80">
        <f>TRUNC(H639*I639,2)</f>
        <v>1.02</v>
      </c>
      <c r="K639" s="81"/>
      <c r="L639" s="3"/>
      <c r="M639" s="3"/>
      <c r="N639" s="3"/>
    </row>
    <row r="640" spans="1:14" ht="15" customHeight="1" x14ac:dyDescent="0.25">
      <c r="A640" s="16" t="s">
        <v>302</v>
      </c>
      <c r="B640" s="20">
        <v>88264</v>
      </c>
      <c r="C640" s="77" t="str">
        <f>VLOOKUP(B640,IF(A640="COMPOSICAO",S!$A:$D,I!$A:$D),2,FALSE)</f>
        <v>ELETRICISTA COM ENCARGOS COMPLEMENTARES</v>
      </c>
      <c r="D640" s="77"/>
      <c r="E640" s="77"/>
      <c r="F640" s="77"/>
      <c r="G640" s="16" t="str">
        <f>VLOOKUP(B640,IF(A640="COMPOSICAO",S!$A:$D,I!$A:$D),3,FALSE)</f>
        <v>H</v>
      </c>
      <c r="H640" s="22">
        <f>0.0663</f>
        <v>6.6299999999999998E-2</v>
      </c>
      <c r="I640" s="17">
        <f>IF(A640="COMPOSICAO",VLOOKUP("TOTAL - "&amp;B640,COMPOSICAO_AUX_1!$A:$J,10,FALSE),VLOOKUP(B640,I!$A:$D,4,FALSE))</f>
        <v>20.02</v>
      </c>
      <c r="J640" s="80">
        <f>TRUNC(H640*I640,2)</f>
        <v>1.32</v>
      </c>
      <c r="K640" s="81"/>
      <c r="L640" s="3"/>
      <c r="M640" s="3"/>
      <c r="N640" s="3"/>
    </row>
    <row r="641" spans="1:14" ht="15" customHeight="1" x14ac:dyDescent="0.25">
      <c r="A641" s="23" t="s">
        <v>303</v>
      </c>
      <c r="B641" s="24"/>
      <c r="C641" s="24"/>
      <c r="D641" s="24"/>
      <c r="E641" s="24"/>
      <c r="F641" s="24"/>
      <c r="G641" s="25"/>
      <c r="H641" s="26"/>
      <c r="I641" s="27"/>
      <c r="J641" s="80">
        <f>SUM(J636:K640)</f>
        <v>15.940000000000001</v>
      </c>
      <c r="K641" s="81"/>
    </row>
    <row r="642" spans="1:14" ht="15" customHeight="1" x14ac:dyDescent="0.25">
      <c r="A642" s="23" t="str">
        <f>"TAXA DE BDI ("&amp;BDI&amp;" %)"</f>
        <v>TAXA DE BDI (20,8 %)</v>
      </c>
      <c r="B642" s="24"/>
      <c r="C642" s="24"/>
      <c r="D642" s="24"/>
      <c r="E642" s="24"/>
      <c r="F642" s="24"/>
      <c r="G642" s="25"/>
      <c r="H642" s="26"/>
      <c r="I642" s="27"/>
      <c r="J642" s="80">
        <f>ROUND(J641*(BDI/100),2)</f>
        <v>3.32</v>
      </c>
      <c r="K642" s="81"/>
    </row>
    <row r="643" spans="1:14" ht="15" customHeight="1" x14ac:dyDescent="0.25">
      <c r="A643" s="23" t="s">
        <v>470</v>
      </c>
      <c r="B643" s="24"/>
      <c r="C643" s="24"/>
      <c r="D643" s="24"/>
      <c r="E643" s="24"/>
      <c r="F643" s="24"/>
      <c r="G643" s="25"/>
      <c r="H643" s="26"/>
      <c r="I643" s="27"/>
      <c r="J643" s="80">
        <f>SUM(J641:K642)</f>
        <v>19.260000000000002</v>
      </c>
      <c r="K643" s="81"/>
    </row>
    <row r="644" spans="1:14" ht="15" customHeight="1" x14ac:dyDescent="0.25">
      <c r="A644" s="3"/>
      <c r="B644" s="3"/>
      <c r="C644" s="3"/>
      <c r="D644" s="3"/>
      <c r="E644" s="3"/>
      <c r="F644" s="3"/>
      <c r="G644" s="3"/>
      <c r="H644" s="3"/>
      <c r="I644" s="3"/>
      <c r="J644" s="3"/>
      <c r="K644" s="3"/>
    </row>
    <row r="645" spans="1:14" ht="15" customHeight="1" x14ac:dyDescent="0.25">
      <c r="A645" s="10" t="s">
        <v>295</v>
      </c>
      <c r="B645" s="10" t="s">
        <v>31</v>
      </c>
      <c r="C645" s="82" t="s">
        <v>7</v>
      </c>
      <c r="D645" s="83"/>
      <c r="E645" s="83"/>
      <c r="F645" s="83"/>
      <c r="G645" s="6" t="s">
        <v>32</v>
      </c>
      <c r="H645" s="6" t="s">
        <v>296</v>
      </c>
      <c r="I645" s="6" t="s">
        <v>297</v>
      </c>
      <c r="J645" s="57" t="s">
        <v>9</v>
      </c>
      <c r="K645" s="58"/>
    </row>
    <row r="646" spans="1:14" ht="45" customHeight="1" x14ac:dyDescent="0.25">
      <c r="A646" s="6" t="s">
        <v>469</v>
      </c>
      <c r="B646" s="28">
        <v>93654</v>
      </c>
      <c r="C646" s="91" t="str">
        <f>VLOOKUP(B646,S!$A:$D,2,FALSE)</f>
        <v>DISJUNTOR MONOPOLAR TIPO DIN, CORRENTE NOMINAL DE 16A - FORNECIMENTO E INSTALAÇÃO. AF_10/2020</v>
      </c>
      <c r="D646" s="91"/>
      <c r="E646" s="91"/>
      <c r="F646" s="92"/>
      <c r="G646" s="6" t="str">
        <f>VLOOKUP(B646,S!$A:$D,3,FALSE)</f>
        <v>UN</v>
      </c>
      <c r="H646" s="21"/>
      <c r="I646" s="21">
        <f>J651</f>
        <v>12.17</v>
      </c>
      <c r="J646" s="76"/>
      <c r="K646" s="72"/>
      <c r="L646" s="21">
        <f>VLOOKUP(B646,S!$A:$D,4,FALSE)</f>
        <v>12.17</v>
      </c>
      <c r="M646" s="6" t="str">
        <f>IF(ROUND((L646-I646),2)=0,"OK, confere com a tabela.",IF(ROUND((L646-I646),2)&lt;0,"ACIMA ("&amp;TEXT(ROUND(I646*100/L646,4),"0,0000")&amp;" %) da tabela.","ABAIXO ("&amp;TEXT(ROUND(I646*100/L646,4),"0,0000")&amp;" %) da tabela."))</f>
        <v>OK, confere com a tabela.</v>
      </c>
    </row>
    <row r="647" spans="1:14" ht="45" customHeight="1" x14ac:dyDescent="0.25">
      <c r="A647" s="16" t="s">
        <v>306</v>
      </c>
      <c r="B647" s="20">
        <v>1570</v>
      </c>
      <c r="C647" s="77" t="str">
        <f>VLOOKUP(B647,IF(A647="COMPOSICAO",S!$A:$D,I!$A:$D),2,FALSE)</f>
        <v>TERMINAL A COMPRESSAO EM COBRE ESTANHADO PARA CABO 2,5 MM2, 1 FURO E 1 COMPRESSAO, PARA PARAFUSO DE FIXACAO M5</v>
      </c>
      <c r="D647" s="77"/>
      <c r="E647" s="77"/>
      <c r="F647" s="77"/>
      <c r="G647" s="16" t="str">
        <f>VLOOKUP(B647,IF(A647="COMPOSICAO",S!$A:$D,I!$A:$D),3,FALSE)</f>
        <v>UN</v>
      </c>
      <c r="H647" s="22">
        <f>1</f>
        <v>1</v>
      </c>
      <c r="I647" s="17">
        <f>IF(A647="COMPOSICAO",VLOOKUP("TOTAL - "&amp;B647,COMPOSICAO_AUX_1!$A:$J,10,FALSE),VLOOKUP(B647,I!$A:$D,4,FALSE))</f>
        <v>1</v>
      </c>
      <c r="J647" s="80">
        <f>TRUNC(H647*I647,2)</f>
        <v>1</v>
      </c>
      <c r="K647" s="81"/>
      <c r="L647" s="3"/>
      <c r="M647" s="3"/>
      <c r="N647" s="3"/>
    </row>
    <row r="648" spans="1:14" ht="30" customHeight="1" x14ac:dyDescent="0.25">
      <c r="A648" s="16" t="s">
        <v>306</v>
      </c>
      <c r="B648" s="20">
        <v>34653</v>
      </c>
      <c r="C648" s="77" t="str">
        <f>VLOOKUP(B648,IF(A648="COMPOSICAO",S!$A:$D,I!$A:$D),2,FALSE)</f>
        <v>DISJUNTOR TIPO DIN/IEC, MONOPOLAR DE 6  ATE  32A</v>
      </c>
      <c r="D648" s="77"/>
      <c r="E648" s="77"/>
      <c r="F648" s="77"/>
      <c r="G648" s="16" t="str">
        <f>VLOOKUP(B648,IF(A648="COMPOSICAO",S!$A:$D,I!$A:$D),3,FALSE)</f>
        <v>UN</v>
      </c>
      <c r="H648" s="22">
        <f>1</f>
        <v>1</v>
      </c>
      <c r="I648" s="17">
        <f>IF(A648="COMPOSICAO",VLOOKUP("TOTAL - "&amp;B648,COMPOSICAO_AUX_1!$A:$J,10,FALSE),VLOOKUP(B648,I!$A:$D,4,FALSE))</f>
        <v>9.49</v>
      </c>
      <c r="J648" s="80">
        <f>TRUNC(H648*I648,2)</f>
        <v>9.49</v>
      </c>
      <c r="K648" s="81"/>
      <c r="L648" s="3"/>
      <c r="M648" s="3"/>
      <c r="N648" s="3"/>
    </row>
    <row r="649" spans="1:14" ht="30" customHeight="1" x14ac:dyDescent="0.25">
      <c r="A649" s="16" t="s">
        <v>302</v>
      </c>
      <c r="B649" s="20">
        <v>88247</v>
      </c>
      <c r="C649" s="77" t="str">
        <f>VLOOKUP(B649,IF(A649="COMPOSICAO",S!$A:$D,I!$A:$D),2,FALSE)</f>
        <v>AUXILIAR DE ELETRICISTA COM ENCARGOS COMPLEMENTARES</v>
      </c>
      <c r="D649" s="77"/>
      <c r="E649" s="77"/>
      <c r="F649" s="77"/>
      <c r="G649" s="16" t="str">
        <f>VLOOKUP(B649,IF(A649="COMPOSICAO",S!$A:$D,I!$A:$D),3,FALSE)</f>
        <v>H</v>
      </c>
      <c r="H649" s="22">
        <f>0.0476</f>
        <v>4.7600000000000003E-2</v>
      </c>
      <c r="I649" s="17">
        <f>IF(A649="COMPOSICAO",VLOOKUP("TOTAL - "&amp;B649,COMPOSICAO_AUX_1!$A:$J,10,FALSE),VLOOKUP(B649,I!$A:$D,4,FALSE))</f>
        <v>15.469999999999999</v>
      </c>
      <c r="J649" s="80">
        <f>TRUNC(H649*I649,2)</f>
        <v>0.73</v>
      </c>
      <c r="K649" s="81"/>
      <c r="L649" s="3"/>
      <c r="M649" s="3"/>
      <c r="N649" s="3"/>
    </row>
    <row r="650" spans="1:14" ht="15" customHeight="1" x14ac:dyDescent="0.25">
      <c r="A650" s="16" t="s">
        <v>302</v>
      </c>
      <c r="B650" s="20">
        <v>88264</v>
      </c>
      <c r="C650" s="77" t="str">
        <f>VLOOKUP(B650,IF(A650="COMPOSICAO",S!$A:$D,I!$A:$D),2,FALSE)</f>
        <v>ELETRICISTA COM ENCARGOS COMPLEMENTARES</v>
      </c>
      <c r="D650" s="77"/>
      <c r="E650" s="77"/>
      <c r="F650" s="77"/>
      <c r="G650" s="16" t="str">
        <f>VLOOKUP(B650,IF(A650="COMPOSICAO",S!$A:$D,I!$A:$D),3,FALSE)</f>
        <v>H</v>
      </c>
      <c r="H650" s="22">
        <f>0.0476</f>
        <v>4.7600000000000003E-2</v>
      </c>
      <c r="I650" s="17">
        <f>IF(A650="COMPOSICAO",VLOOKUP("TOTAL - "&amp;B650,COMPOSICAO_AUX_1!$A:$J,10,FALSE),VLOOKUP(B650,I!$A:$D,4,FALSE))</f>
        <v>20.02</v>
      </c>
      <c r="J650" s="80">
        <f>TRUNC(H650*I650,2)</f>
        <v>0.95</v>
      </c>
      <c r="K650" s="81"/>
      <c r="L650" s="3"/>
      <c r="M650" s="3"/>
      <c r="N650" s="3"/>
    </row>
    <row r="651" spans="1:14" ht="15" customHeight="1" x14ac:dyDescent="0.25">
      <c r="A651" s="23" t="s">
        <v>303</v>
      </c>
      <c r="B651" s="24"/>
      <c r="C651" s="24"/>
      <c r="D651" s="24"/>
      <c r="E651" s="24"/>
      <c r="F651" s="24"/>
      <c r="G651" s="25"/>
      <c r="H651" s="26"/>
      <c r="I651" s="27"/>
      <c r="J651" s="80">
        <f>SUM(J646:K650)</f>
        <v>12.17</v>
      </c>
      <c r="K651" s="81"/>
    </row>
    <row r="652" spans="1:14" ht="15" customHeight="1" x14ac:dyDescent="0.25">
      <c r="A652" s="23" t="str">
        <f>"TAXA DE BDI ("&amp;BDI&amp;" %)"</f>
        <v>TAXA DE BDI (20,8 %)</v>
      </c>
      <c r="B652" s="24"/>
      <c r="C652" s="24"/>
      <c r="D652" s="24"/>
      <c r="E652" s="24"/>
      <c r="F652" s="24"/>
      <c r="G652" s="25"/>
      <c r="H652" s="26"/>
      <c r="I652" s="27"/>
      <c r="J652" s="80">
        <f>ROUND(J651*(BDI/100),2)</f>
        <v>2.5299999999999998</v>
      </c>
      <c r="K652" s="81"/>
    </row>
    <row r="653" spans="1:14" ht="15" customHeight="1" x14ac:dyDescent="0.25">
      <c r="A653" s="23" t="s">
        <v>471</v>
      </c>
      <c r="B653" s="24"/>
      <c r="C653" s="24"/>
      <c r="D653" s="24"/>
      <c r="E653" s="24"/>
      <c r="F653" s="24"/>
      <c r="G653" s="25"/>
      <c r="H653" s="26"/>
      <c r="I653" s="27"/>
      <c r="J653" s="80">
        <f>SUM(J651:K652)</f>
        <v>14.7</v>
      </c>
      <c r="K653" s="81"/>
    </row>
    <row r="654" spans="1:14" ht="15" customHeight="1" x14ac:dyDescent="0.25">
      <c r="A654" s="3"/>
      <c r="B654" s="3"/>
      <c r="C654" s="3"/>
      <c r="D654" s="3"/>
      <c r="E654" s="3"/>
      <c r="F654" s="3"/>
      <c r="G654" s="3"/>
      <c r="H654" s="3"/>
      <c r="I654" s="3"/>
      <c r="J654" s="3"/>
      <c r="K654" s="3"/>
    </row>
    <row r="655" spans="1:14" ht="15" customHeight="1" x14ac:dyDescent="0.25">
      <c r="A655" s="10" t="s">
        <v>295</v>
      </c>
      <c r="B655" s="10" t="s">
        <v>31</v>
      </c>
      <c r="C655" s="82" t="s">
        <v>7</v>
      </c>
      <c r="D655" s="83"/>
      <c r="E655" s="83"/>
      <c r="F655" s="83"/>
      <c r="G655" s="6" t="s">
        <v>32</v>
      </c>
      <c r="H655" s="6" t="s">
        <v>296</v>
      </c>
      <c r="I655" s="6" t="s">
        <v>297</v>
      </c>
      <c r="J655" s="57" t="s">
        <v>9</v>
      </c>
      <c r="K655" s="58"/>
    </row>
    <row r="656" spans="1:14" ht="45" customHeight="1" x14ac:dyDescent="0.25">
      <c r="A656" s="6" t="s">
        <v>11</v>
      </c>
      <c r="B656" s="6" t="s">
        <v>472</v>
      </c>
      <c r="C656" s="91" t="str">
        <f>VLOOKUP(B656,S!$A:$D,2,FALSE)</f>
        <v>DISJUNTOR MONOPOLAR DR 25 A  - DISPOSITIVO RESIDUAL DIFERENCIAL, TIPO AC, REF.5SU1 SIEMENS OU SIMILAR</v>
      </c>
      <c r="D656" s="91"/>
      <c r="E656" s="91"/>
      <c r="F656" s="92"/>
      <c r="G656" s="6" t="str">
        <f>VLOOKUP(B656,S!$A:$D,3,FALSE)</f>
        <v>UN</v>
      </c>
      <c r="H656" s="21"/>
      <c r="I656" s="21">
        <f>J660</f>
        <v>77.239999999999995</v>
      </c>
      <c r="J656" s="76"/>
      <c r="K656" s="72"/>
      <c r="L656" s="21">
        <f>VLOOKUP(B656,S!$A:$D,4,FALSE)</f>
        <v>75.239999999999995</v>
      </c>
      <c r="M656" s="6" t="str">
        <f>IF(ROUND((L656-I656),2)=0,"OK, confere com a tabela.",IF(ROUND((L656-I656),2)&lt;0,"ACIMA ("&amp;TEXT(ROUND(I656*100/L656,4),"0,0000")&amp;" %) da tabela.","ABAIXO ("&amp;TEXT(ROUND(I656*100/L656,4),"0,0000")&amp;" %) da tabela."))</f>
        <v>ACIMA (102,6582 %) da tabela.</v>
      </c>
    </row>
    <row r="657" spans="1:14" ht="30" customHeight="1" x14ac:dyDescent="0.25">
      <c r="A657" s="16" t="s">
        <v>306</v>
      </c>
      <c r="B657" s="16" t="s">
        <v>473</v>
      </c>
      <c r="C657" s="77" t="str">
        <f>VLOOKUP(B657,IF(A657="COMPOSICAO",S!$A:$D,I!$A:$D),2,FALSE)</f>
        <v>DISJUNTOR MONOPOLAR DR 25 A, DISPOSITIVO RESIDUAL DIFERENCIAL</v>
      </c>
      <c r="D657" s="77"/>
      <c r="E657" s="77"/>
      <c r="F657" s="77"/>
      <c r="G657" s="16" t="str">
        <f>VLOOKUP(B657,IF(A657="COMPOSICAO",S!$A:$D,I!$A:$D),3,FALSE)</f>
        <v>UN</v>
      </c>
      <c r="H657" s="22">
        <f>1</f>
        <v>1</v>
      </c>
      <c r="I657" s="17">
        <f>IF(A657="COMPOSICAO",VLOOKUP("TOTAL - "&amp;B657,COMPOSICAO_AUX_1!$A:$J,10,FALSE),VLOOKUP(B657,I!$A:$D,4,FALSE))</f>
        <v>63.1</v>
      </c>
      <c r="J657" s="80">
        <f>TRUNC(H657*I657,2)</f>
        <v>63.1</v>
      </c>
      <c r="K657" s="81"/>
      <c r="L657" s="3"/>
      <c r="M657" s="3"/>
      <c r="N657" s="3"/>
    </row>
    <row r="658" spans="1:14" ht="15" customHeight="1" x14ac:dyDescent="0.25">
      <c r="A658" s="16" t="s">
        <v>302</v>
      </c>
      <c r="B658" s="20">
        <v>88264</v>
      </c>
      <c r="C658" s="77" t="str">
        <f>VLOOKUP(B658,IF(A658="COMPOSICAO",S!$A:$D,I!$A:$D),2,FALSE)</f>
        <v>ELETRICISTA COM ENCARGOS COMPLEMENTARES</v>
      </c>
      <c r="D658" s="77"/>
      <c r="E658" s="77"/>
      <c r="F658" s="77"/>
      <c r="G658" s="16" t="str">
        <f>VLOOKUP(B658,IF(A658="COMPOSICAO",S!$A:$D,I!$A:$D),3,FALSE)</f>
        <v>H</v>
      </c>
      <c r="H658" s="22">
        <f>0.4</f>
        <v>0.4</v>
      </c>
      <c r="I658" s="17">
        <f>IF(A658="COMPOSICAO",VLOOKUP("TOTAL - "&amp;B658,COMPOSICAO_AUX_1!$A:$J,10,FALSE),VLOOKUP(B658,I!$A:$D,4,FALSE))</f>
        <v>20.02</v>
      </c>
      <c r="J658" s="80">
        <f>TRUNC(H658*I658,2)</f>
        <v>8</v>
      </c>
      <c r="K658" s="81"/>
      <c r="L658" s="3"/>
      <c r="M658" s="3"/>
      <c r="N658" s="3"/>
    </row>
    <row r="659" spans="1:14" ht="15" customHeight="1" x14ac:dyDescent="0.25">
      <c r="A659" s="16" t="s">
        <v>302</v>
      </c>
      <c r="B659" s="20">
        <v>88316</v>
      </c>
      <c r="C659" s="77" t="str">
        <f>VLOOKUP(B659,IF(A659="COMPOSICAO",S!$A:$D,I!$A:$D),2,FALSE)</f>
        <v>SERVENTE COM ENCARGOS COMPLEMENTARES</v>
      </c>
      <c r="D659" s="77"/>
      <c r="E659" s="77"/>
      <c r="F659" s="77"/>
      <c r="G659" s="16" t="str">
        <f>VLOOKUP(B659,IF(A659="COMPOSICAO",S!$A:$D,I!$A:$D),3,FALSE)</f>
        <v>H</v>
      </c>
      <c r="H659" s="22">
        <f>0.4</f>
        <v>0.4</v>
      </c>
      <c r="I659" s="17">
        <f>IF(A659="COMPOSICAO",VLOOKUP("TOTAL - "&amp;B659,COMPOSICAO_AUX_1!$A:$J,10,FALSE),VLOOKUP(B659,I!$A:$D,4,FALSE))</f>
        <v>15.35</v>
      </c>
      <c r="J659" s="80">
        <f>TRUNC(H659*I659,2)</f>
        <v>6.14</v>
      </c>
      <c r="K659" s="81"/>
      <c r="L659" s="3"/>
      <c r="M659" s="3"/>
      <c r="N659" s="3"/>
    </row>
    <row r="660" spans="1:14" ht="15" customHeight="1" x14ac:dyDescent="0.25">
      <c r="A660" s="23" t="s">
        <v>303</v>
      </c>
      <c r="B660" s="24"/>
      <c r="C660" s="24"/>
      <c r="D660" s="24"/>
      <c r="E660" s="24"/>
      <c r="F660" s="24"/>
      <c r="G660" s="25"/>
      <c r="H660" s="26"/>
      <c r="I660" s="27"/>
      <c r="J660" s="80">
        <f>SUM(J656:K659)</f>
        <v>77.239999999999995</v>
      </c>
      <c r="K660" s="81"/>
    </row>
    <row r="661" spans="1:14" ht="15" customHeight="1" x14ac:dyDescent="0.25">
      <c r="A661" s="23" t="str">
        <f>"TAXA DE BDI ("&amp;BDI&amp;" %)"</f>
        <v>TAXA DE BDI (20,8 %)</v>
      </c>
      <c r="B661" s="24"/>
      <c r="C661" s="24"/>
      <c r="D661" s="24"/>
      <c r="E661" s="24"/>
      <c r="F661" s="24"/>
      <c r="G661" s="25"/>
      <c r="H661" s="26"/>
      <c r="I661" s="27"/>
      <c r="J661" s="80">
        <f>ROUND(J660*(BDI/100),2)</f>
        <v>16.07</v>
      </c>
      <c r="K661" s="81"/>
    </row>
    <row r="662" spans="1:14" ht="15" customHeight="1" x14ac:dyDescent="0.25">
      <c r="A662" s="23" t="s">
        <v>474</v>
      </c>
      <c r="B662" s="24"/>
      <c r="C662" s="24"/>
      <c r="D662" s="24"/>
      <c r="E662" s="24"/>
      <c r="F662" s="24"/>
      <c r="G662" s="25"/>
      <c r="H662" s="26"/>
      <c r="I662" s="27"/>
      <c r="J662" s="80">
        <f>SUM(J660:K661)</f>
        <v>93.31</v>
      </c>
      <c r="K662" s="81"/>
    </row>
    <row r="663" spans="1:14" ht="15" customHeight="1" x14ac:dyDescent="0.25">
      <c r="A663" s="3"/>
      <c r="B663" s="3"/>
      <c r="C663" s="3"/>
      <c r="D663" s="3"/>
      <c r="E663" s="3"/>
      <c r="F663" s="3"/>
      <c r="G663" s="3"/>
      <c r="H663" s="3"/>
      <c r="I663" s="3"/>
      <c r="J663" s="3"/>
      <c r="K663" s="3"/>
    </row>
    <row r="664" spans="1:14" ht="15" customHeight="1" x14ac:dyDescent="0.25">
      <c r="A664" s="10" t="s">
        <v>295</v>
      </c>
      <c r="B664" s="10" t="s">
        <v>31</v>
      </c>
      <c r="C664" s="82" t="s">
        <v>7</v>
      </c>
      <c r="D664" s="83"/>
      <c r="E664" s="83"/>
      <c r="F664" s="83"/>
      <c r="G664" s="6" t="s">
        <v>32</v>
      </c>
      <c r="H664" s="6" t="s">
        <v>296</v>
      </c>
      <c r="I664" s="6" t="s">
        <v>297</v>
      </c>
      <c r="J664" s="57" t="s">
        <v>9</v>
      </c>
      <c r="K664" s="58"/>
    </row>
    <row r="665" spans="1:14" ht="30" customHeight="1" x14ac:dyDescent="0.25">
      <c r="A665" s="6" t="s">
        <v>11</v>
      </c>
      <c r="B665" s="6" t="s">
        <v>475</v>
      </c>
      <c r="C665" s="91" t="str">
        <f>VLOOKUP(B665,S!$A:$D,2,FALSE)</f>
        <v>DISPOSITIVO DE PROTEÇÃO CONTRA SURTO DE TENSÃO DPS 40KA - 175V</v>
      </c>
      <c r="D665" s="91"/>
      <c r="E665" s="91"/>
      <c r="F665" s="92"/>
      <c r="G665" s="6" t="str">
        <f>VLOOKUP(B665,S!$A:$D,3,FALSE)</f>
        <v>UN</v>
      </c>
      <c r="H665" s="21"/>
      <c r="I665" s="21">
        <f>J669</f>
        <v>63.5</v>
      </c>
      <c r="J665" s="76"/>
      <c r="K665" s="72"/>
      <c r="L665" s="21">
        <f>VLOOKUP(B665,S!$A:$D,4,FALSE)</f>
        <v>61.99</v>
      </c>
      <c r="M665" s="6" t="str">
        <f>IF(ROUND((L665-I665),2)=0,"OK, confere com a tabela.",IF(ROUND((L665-I665),2)&lt;0,"ACIMA ("&amp;TEXT(ROUND(I665*100/L665,4),"0,0000")&amp;" %) da tabela.","ABAIXO ("&amp;TEXT(ROUND(I665*100/L665,4),"0,0000")&amp;" %) da tabela."))</f>
        <v>ACIMA (102,4359 %) da tabela.</v>
      </c>
    </row>
    <row r="666" spans="1:14" ht="30" customHeight="1" x14ac:dyDescent="0.25">
      <c r="A666" s="16" t="s">
        <v>306</v>
      </c>
      <c r="B666" s="16" t="s">
        <v>476</v>
      </c>
      <c r="C666" s="77" t="str">
        <f>VLOOKUP(B666,IF(A666="COMPOSICAO",S!$A:$D,I!$A:$D),2,FALSE)</f>
        <v>DISPOSITIVO DE PROTEÇÃO CONTRA SURTO DE TENSÃO DPS 40KA - 175V (PARA-RAIO)</v>
      </c>
      <c r="D666" s="77"/>
      <c r="E666" s="77"/>
      <c r="F666" s="77"/>
      <c r="G666" s="16" t="str">
        <f>VLOOKUP(B666,IF(A666="COMPOSICAO",S!$A:$D,I!$A:$D),3,FALSE)</f>
        <v>UN</v>
      </c>
      <c r="H666" s="22">
        <f>1</f>
        <v>1</v>
      </c>
      <c r="I666" s="17">
        <f>IF(A666="COMPOSICAO",VLOOKUP("TOTAL - "&amp;B666,COMPOSICAO_AUX_1!$A:$J,10,FALSE),VLOOKUP(B666,I!$A:$D,4,FALSE))</f>
        <v>52.9</v>
      </c>
      <c r="J666" s="80">
        <f>TRUNC(H666*I666,2)</f>
        <v>52.9</v>
      </c>
      <c r="K666" s="81"/>
      <c r="L666" s="3"/>
      <c r="M666" s="3"/>
      <c r="N666" s="3"/>
    </row>
    <row r="667" spans="1:14" ht="15" customHeight="1" x14ac:dyDescent="0.25">
      <c r="A667" s="16" t="s">
        <v>302</v>
      </c>
      <c r="B667" s="20">
        <v>88264</v>
      </c>
      <c r="C667" s="77" t="str">
        <f>VLOOKUP(B667,IF(A667="COMPOSICAO",S!$A:$D,I!$A:$D),2,FALSE)</f>
        <v>ELETRICISTA COM ENCARGOS COMPLEMENTARES</v>
      </c>
      <c r="D667" s="77"/>
      <c r="E667" s="77"/>
      <c r="F667" s="77"/>
      <c r="G667" s="16" t="str">
        <f>VLOOKUP(B667,IF(A667="COMPOSICAO",S!$A:$D,I!$A:$D),3,FALSE)</f>
        <v>H</v>
      </c>
      <c r="H667" s="22">
        <f>0.3</f>
        <v>0.3</v>
      </c>
      <c r="I667" s="17">
        <f>IF(A667="COMPOSICAO",VLOOKUP("TOTAL - "&amp;B667,COMPOSICAO_AUX_1!$A:$J,10,FALSE),VLOOKUP(B667,I!$A:$D,4,FALSE))</f>
        <v>20.02</v>
      </c>
      <c r="J667" s="80">
        <f>TRUNC(H667*I667,2)</f>
        <v>6</v>
      </c>
      <c r="K667" s="81"/>
      <c r="L667" s="3"/>
      <c r="M667" s="3"/>
      <c r="N667" s="3"/>
    </row>
    <row r="668" spans="1:14" ht="15" customHeight="1" x14ac:dyDescent="0.25">
      <c r="A668" s="16" t="s">
        <v>302</v>
      </c>
      <c r="B668" s="20">
        <v>88316</v>
      </c>
      <c r="C668" s="77" t="str">
        <f>VLOOKUP(B668,IF(A668="COMPOSICAO",S!$A:$D,I!$A:$D),2,FALSE)</f>
        <v>SERVENTE COM ENCARGOS COMPLEMENTARES</v>
      </c>
      <c r="D668" s="77"/>
      <c r="E668" s="77"/>
      <c r="F668" s="77"/>
      <c r="G668" s="16" t="str">
        <f>VLOOKUP(B668,IF(A668="COMPOSICAO",S!$A:$D,I!$A:$D),3,FALSE)</f>
        <v>H</v>
      </c>
      <c r="H668" s="22">
        <f>0.3</f>
        <v>0.3</v>
      </c>
      <c r="I668" s="17">
        <f>IF(A668="COMPOSICAO",VLOOKUP("TOTAL - "&amp;B668,COMPOSICAO_AUX_1!$A:$J,10,FALSE),VLOOKUP(B668,I!$A:$D,4,FALSE))</f>
        <v>15.35</v>
      </c>
      <c r="J668" s="80">
        <f>TRUNC(H668*I668,2)</f>
        <v>4.5999999999999996</v>
      </c>
      <c r="K668" s="81"/>
      <c r="L668" s="3"/>
      <c r="M668" s="3"/>
      <c r="N668" s="3"/>
    </row>
    <row r="669" spans="1:14" ht="15" customHeight="1" x14ac:dyDescent="0.25">
      <c r="A669" s="23" t="s">
        <v>303</v>
      </c>
      <c r="B669" s="24"/>
      <c r="C669" s="24"/>
      <c r="D669" s="24"/>
      <c r="E669" s="24"/>
      <c r="F669" s="24"/>
      <c r="G669" s="25"/>
      <c r="H669" s="26"/>
      <c r="I669" s="27"/>
      <c r="J669" s="80">
        <f>SUM(J665:K668)</f>
        <v>63.5</v>
      </c>
      <c r="K669" s="81"/>
    </row>
    <row r="670" spans="1:14" ht="15" customHeight="1" x14ac:dyDescent="0.25">
      <c r="A670" s="23" t="str">
        <f>"TAXA DE BDI ("&amp;BDI&amp;" %)"</f>
        <v>TAXA DE BDI (20,8 %)</v>
      </c>
      <c r="B670" s="24"/>
      <c r="C670" s="24"/>
      <c r="D670" s="24"/>
      <c r="E670" s="24"/>
      <c r="F670" s="24"/>
      <c r="G670" s="25"/>
      <c r="H670" s="26"/>
      <c r="I670" s="27"/>
      <c r="J670" s="80">
        <f>ROUND(J669*(BDI/100),2)</f>
        <v>13.21</v>
      </c>
      <c r="K670" s="81"/>
    </row>
    <row r="671" spans="1:14" ht="15" customHeight="1" x14ac:dyDescent="0.25">
      <c r="A671" s="23" t="s">
        <v>477</v>
      </c>
      <c r="B671" s="24"/>
      <c r="C671" s="24"/>
      <c r="D671" s="24"/>
      <c r="E671" s="24"/>
      <c r="F671" s="24"/>
      <c r="G671" s="25"/>
      <c r="H671" s="26"/>
      <c r="I671" s="27"/>
      <c r="J671" s="80">
        <f>SUM(J669:K670)</f>
        <v>76.710000000000008</v>
      </c>
      <c r="K671" s="81"/>
    </row>
    <row r="672" spans="1:14" ht="15" customHeight="1" x14ac:dyDescent="0.25">
      <c r="A672" s="3"/>
      <c r="B672" s="3"/>
      <c r="C672" s="3"/>
      <c r="D672" s="3"/>
      <c r="E672" s="3"/>
      <c r="F672" s="3"/>
      <c r="G672" s="3"/>
      <c r="H672" s="3"/>
      <c r="I672" s="3"/>
      <c r="J672" s="3"/>
      <c r="K672" s="3"/>
    </row>
    <row r="673" spans="1:14" ht="15" customHeight="1" x14ac:dyDescent="0.25">
      <c r="A673" s="10" t="s">
        <v>295</v>
      </c>
      <c r="B673" s="10" t="s">
        <v>31</v>
      </c>
      <c r="C673" s="82" t="s">
        <v>7</v>
      </c>
      <c r="D673" s="83"/>
      <c r="E673" s="83"/>
      <c r="F673" s="83"/>
      <c r="G673" s="6" t="s">
        <v>32</v>
      </c>
      <c r="H673" s="6" t="s">
        <v>296</v>
      </c>
      <c r="I673" s="6" t="s">
        <v>297</v>
      </c>
      <c r="J673" s="57" t="s">
        <v>9</v>
      </c>
      <c r="K673" s="58"/>
    </row>
    <row r="674" spans="1:14" ht="45" customHeight="1" x14ac:dyDescent="0.25">
      <c r="A674" s="6" t="s">
        <v>469</v>
      </c>
      <c r="B674" s="28">
        <v>91931</v>
      </c>
      <c r="C674" s="91" t="str">
        <f>VLOOKUP(B674,S!$A:$D,2,FALSE)</f>
        <v>CABO DE COBRE FLEXÍVEL ISOLADO, 6 MM², ANTI-CHAMA 0,6/1,0 KV, PARA CIRCUITOS TERMINAIS - FORNECIMENTO E INSTALAÇÃO. AF_12/2015</v>
      </c>
      <c r="D674" s="91"/>
      <c r="E674" s="91"/>
      <c r="F674" s="92"/>
      <c r="G674" s="6" t="str">
        <f>VLOOKUP(B674,S!$A:$D,3,FALSE)</f>
        <v>M</v>
      </c>
      <c r="H674" s="21"/>
      <c r="I674" s="21">
        <f>J679</f>
        <v>9.8500000000000014</v>
      </c>
      <c r="J674" s="76"/>
      <c r="K674" s="72"/>
      <c r="L674" s="21">
        <f>VLOOKUP(B674,S!$A:$D,4,FALSE)</f>
        <v>9.85</v>
      </c>
      <c r="M674" s="6" t="str">
        <f>IF(ROUND((L674-I674),2)=0,"OK, confere com a tabela.",IF(ROUND((L674-I674),2)&lt;0,"ACIMA ("&amp;TEXT(ROUND(I674*100/L674,4),"0,0000")&amp;" %) da tabela.","ABAIXO ("&amp;TEXT(ROUND(I674*100/L674,4),"0,0000")&amp;" %) da tabela."))</f>
        <v>OK, confere com a tabela.</v>
      </c>
    </row>
    <row r="675" spans="1:14" ht="60" customHeight="1" x14ac:dyDescent="0.25">
      <c r="A675" s="16" t="s">
        <v>306</v>
      </c>
      <c r="B675" s="20">
        <v>994</v>
      </c>
      <c r="C675" s="77" t="str">
        <f>VLOOKUP(B675,IF(A675="COMPOSICAO",S!$A:$D,I!$A:$D),2,FALSE)</f>
        <v>CABO DE COBRE, FLEXIVEL, CLASSE 4 OU 5, ISOLACAO EM PVC/A, ANTICHAMA BWF-B, COBERTURA PVC-ST1, ANTICHAMA BWF-B, 1 CONDUTOR, 0,6/1 KV, SECAO NOMINAL 6 MM2</v>
      </c>
      <c r="D675" s="77"/>
      <c r="E675" s="77"/>
      <c r="F675" s="77"/>
      <c r="G675" s="16" t="str">
        <f>VLOOKUP(B675,IF(A675="COMPOSICAO",S!$A:$D,I!$A:$D),3,FALSE)</f>
        <v>M</v>
      </c>
      <c r="H675" s="22">
        <f>1.19</f>
        <v>1.19</v>
      </c>
      <c r="I675" s="17">
        <f>IF(A675="COMPOSICAO",VLOOKUP("TOTAL - "&amp;B675,COMPOSICAO_AUX_1!$A:$J,10,FALSE),VLOOKUP(B675,I!$A:$D,4,FALSE))</f>
        <v>6.7</v>
      </c>
      <c r="J675" s="80">
        <f>TRUNC(H675*I675,2)</f>
        <v>7.97</v>
      </c>
      <c r="K675" s="81"/>
      <c r="L675" s="3"/>
      <c r="M675" s="3"/>
      <c r="N675" s="3"/>
    </row>
    <row r="676" spans="1:14" ht="30" customHeight="1" x14ac:dyDescent="0.25">
      <c r="A676" s="16" t="s">
        <v>306</v>
      </c>
      <c r="B676" s="20">
        <v>21127</v>
      </c>
      <c r="C676" s="77" t="str">
        <f>VLOOKUP(B676,IF(A676="COMPOSICAO",S!$A:$D,I!$A:$D),2,FALSE)</f>
        <v>FITA ISOLANTE ADESIVA ANTICHAMA, USO ATE 750 V, EM ROLO DE 19 MM X 5 M</v>
      </c>
      <c r="D676" s="77"/>
      <c r="E676" s="77"/>
      <c r="F676" s="77"/>
      <c r="G676" s="16" t="str">
        <f>VLOOKUP(B676,IF(A676="COMPOSICAO",S!$A:$D,I!$A:$D),3,FALSE)</f>
        <v>UN</v>
      </c>
      <c r="H676" s="22">
        <f>0.009</f>
        <v>8.9999999999999993E-3</v>
      </c>
      <c r="I676" s="17">
        <f>IF(A676="COMPOSICAO",VLOOKUP("TOTAL - "&amp;B676,COMPOSICAO_AUX_1!$A:$J,10,FALSE),VLOOKUP(B676,I!$A:$D,4,FALSE))</f>
        <v>4.74</v>
      </c>
      <c r="J676" s="80">
        <f>TRUNC(H676*I676,2)</f>
        <v>0.04</v>
      </c>
      <c r="K676" s="81"/>
      <c r="L676" s="3"/>
      <c r="M676" s="3"/>
      <c r="N676" s="3"/>
    </row>
    <row r="677" spans="1:14" ht="30" customHeight="1" x14ac:dyDescent="0.25">
      <c r="A677" s="16" t="s">
        <v>302</v>
      </c>
      <c r="B677" s="20">
        <v>88247</v>
      </c>
      <c r="C677" s="77" t="str">
        <f>VLOOKUP(B677,IF(A677="COMPOSICAO",S!$A:$D,I!$A:$D),2,FALSE)</f>
        <v>AUXILIAR DE ELETRICISTA COM ENCARGOS COMPLEMENTARES</v>
      </c>
      <c r="D677" s="77"/>
      <c r="E677" s="77"/>
      <c r="F677" s="77"/>
      <c r="G677" s="16" t="str">
        <f>VLOOKUP(B677,IF(A677="COMPOSICAO",S!$A:$D,I!$A:$D),3,FALSE)</f>
        <v>H</v>
      </c>
      <c r="H677" s="22">
        <f>0.052</f>
        <v>5.1999999999999998E-2</v>
      </c>
      <c r="I677" s="17">
        <f>IF(A677="COMPOSICAO",VLOOKUP("TOTAL - "&amp;B677,COMPOSICAO_AUX_1!$A:$J,10,FALSE),VLOOKUP(B677,I!$A:$D,4,FALSE))</f>
        <v>15.469999999999999</v>
      </c>
      <c r="J677" s="80">
        <f>TRUNC(H677*I677,2)</f>
        <v>0.8</v>
      </c>
      <c r="K677" s="81"/>
      <c r="L677" s="3"/>
      <c r="M677" s="3"/>
      <c r="N677" s="3"/>
    </row>
    <row r="678" spans="1:14" ht="15" customHeight="1" x14ac:dyDescent="0.25">
      <c r="A678" s="16" t="s">
        <v>302</v>
      </c>
      <c r="B678" s="20">
        <v>88264</v>
      </c>
      <c r="C678" s="77" t="str">
        <f>VLOOKUP(B678,IF(A678="COMPOSICAO",S!$A:$D,I!$A:$D),2,FALSE)</f>
        <v>ELETRICISTA COM ENCARGOS COMPLEMENTARES</v>
      </c>
      <c r="D678" s="77"/>
      <c r="E678" s="77"/>
      <c r="F678" s="77"/>
      <c r="G678" s="16" t="str">
        <f>VLOOKUP(B678,IF(A678="COMPOSICAO",S!$A:$D,I!$A:$D),3,FALSE)</f>
        <v>H</v>
      </c>
      <c r="H678" s="22">
        <f>0.052</f>
        <v>5.1999999999999998E-2</v>
      </c>
      <c r="I678" s="17">
        <f>IF(A678="COMPOSICAO",VLOOKUP("TOTAL - "&amp;B678,COMPOSICAO_AUX_1!$A:$J,10,FALSE),VLOOKUP(B678,I!$A:$D,4,FALSE))</f>
        <v>20.02</v>
      </c>
      <c r="J678" s="80">
        <f>TRUNC(H678*I678,2)</f>
        <v>1.04</v>
      </c>
      <c r="K678" s="81"/>
      <c r="L678" s="3"/>
      <c r="M678" s="3"/>
      <c r="N678" s="3"/>
    </row>
    <row r="679" spans="1:14" ht="15" customHeight="1" x14ac:dyDescent="0.25">
      <c r="A679" s="23" t="s">
        <v>303</v>
      </c>
      <c r="B679" s="24"/>
      <c r="C679" s="24"/>
      <c r="D679" s="24"/>
      <c r="E679" s="24"/>
      <c r="F679" s="24"/>
      <c r="G679" s="25"/>
      <c r="H679" s="26"/>
      <c r="I679" s="27"/>
      <c r="J679" s="80">
        <f>SUM(J674:K678)</f>
        <v>9.8500000000000014</v>
      </c>
      <c r="K679" s="81"/>
    </row>
    <row r="680" spans="1:14" ht="15" customHeight="1" x14ac:dyDescent="0.25">
      <c r="A680" s="23" t="str">
        <f>"TAXA DE BDI ("&amp;BDI&amp;" %)"</f>
        <v>TAXA DE BDI (20,8 %)</v>
      </c>
      <c r="B680" s="24"/>
      <c r="C680" s="24"/>
      <c r="D680" s="24"/>
      <c r="E680" s="24"/>
      <c r="F680" s="24"/>
      <c r="G680" s="25"/>
      <c r="H680" s="26"/>
      <c r="I680" s="27"/>
      <c r="J680" s="80">
        <f>ROUND(J679*(BDI/100),2)</f>
        <v>2.0499999999999998</v>
      </c>
      <c r="K680" s="81"/>
    </row>
    <row r="681" spans="1:14" ht="15" customHeight="1" x14ac:dyDescent="0.25">
      <c r="A681" s="23" t="s">
        <v>478</v>
      </c>
      <c r="B681" s="24"/>
      <c r="C681" s="24"/>
      <c r="D681" s="24"/>
      <c r="E681" s="24"/>
      <c r="F681" s="24"/>
      <c r="G681" s="25"/>
      <c r="H681" s="26"/>
      <c r="I681" s="27"/>
      <c r="J681" s="80">
        <f>SUM(J679:K680)</f>
        <v>11.900000000000002</v>
      </c>
      <c r="K681" s="81"/>
    </row>
    <row r="682" spans="1:14" ht="15" customHeight="1" x14ac:dyDescent="0.25">
      <c r="A682" s="3"/>
      <c r="B682" s="3"/>
      <c r="C682" s="3"/>
      <c r="D682" s="3"/>
      <c r="E682" s="3"/>
      <c r="F682" s="3"/>
      <c r="G682" s="3"/>
      <c r="H682" s="3"/>
      <c r="I682" s="3"/>
      <c r="J682" s="3"/>
      <c r="K682" s="3"/>
    </row>
    <row r="683" spans="1:14" ht="15" customHeight="1" x14ac:dyDescent="0.25">
      <c r="A683" s="10" t="s">
        <v>295</v>
      </c>
      <c r="B683" s="10" t="s">
        <v>31</v>
      </c>
      <c r="C683" s="82" t="s">
        <v>7</v>
      </c>
      <c r="D683" s="83"/>
      <c r="E683" s="83"/>
      <c r="F683" s="83"/>
      <c r="G683" s="6" t="s">
        <v>32</v>
      </c>
      <c r="H683" s="6" t="s">
        <v>296</v>
      </c>
      <c r="I683" s="6" t="s">
        <v>297</v>
      </c>
      <c r="J683" s="57" t="s">
        <v>9</v>
      </c>
      <c r="K683" s="58"/>
    </row>
    <row r="684" spans="1:14" ht="45" customHeight="1" x14ac:dyDescent="0.25">
      <c r="A684" s="6" t="s">
        <v>469</v>
      </c>
      <c r="B684" s="28">
        <v>91928</v>
      </c>
      <c r="C684" s="91" t="str">
        <f>VLOOKUP(B684,S!$A:$D,2,FALSE)</f>
        <v>CABO DE COBRE FLEXÍVEL ISOLADO, 4 MM², ANTI-CHAMA 450/750 V, PARA CIRCUITOS TERMINAIS - FORNECIMENTO E INSTALAÇÃO. AF_12/2015</v>
      </c>
      <c r="D684" s="91"/>
      <c r="E684" s="91"/>
      <c r="F684" s="92"/>
      <c r="G684" s="6" t="str">
        <f>VLOOKUP(B684,S!$A:$D,3,FALSE)</f>
        <v>M</v>
      </c>
      <c r="H684" s="21"/>
      <c r="I684" s="21">
        <f>J689</f>
        <v>6.3500000000000005</v>
      </c>
      <c r="J684" s="76"/>
      <c r="K684" s="72"/>
      <c r="L684" s="21">
        <f>VLOOKUP(B684,S!$A:$D,4,FALSE)</f>
        <v>6.35</v>
      </c>
      <c r="M684" s="6" t="str">
        <f>IF(ROUND((L684-I684),2)=0,"OK, confere com a tabela.",IF(ROUND((L684-I684),2)&lt;0,"ACIMA ("&amp;TEXT(ROUND(I684*100/L684,4),"0,0000")&amp;" %) da tabela.","ABAIXO ("&amp;TEXT(ROUND(I684*100/L684,4),"0,0000")&amp;" %) da tabela."))</f>
        <v>OK, confere com a tabela.</v>
      </c>
    </row>
    <row r="685" spans="1:14" ht="45" customHeight="1" x14ac:dyDescent="0.25">
      <c r="A685" s="16" t="s">
        <v>306</v>
      </c>
      <c r="B685" s="20">
        <v>981</v>
      </c>
      <c r="C685" s="77" t="str">
        <f>VLOOKUP(B685,IF(A685="COMPOSICAO",S!$A:$D,I!$A:$D),2,FALSE)</f>
        <v>CABO DE COBRE, FLEXIVEL, CLASSE 4 OU 5, ISOLACAO EM PVC/A, ANTICHAMA BWF-B, 1 CONDUTOR, 450/750 V, SECAO NOMINAL 4 MM2</v>
      </c>
      <c r="D685" s="77"/>
      <c r="E685" s="77"/>
      <c r="F685" s="77"/>
      <c r="G685" s="16" t="str">
        <f>VLOOKUP(B685,IF(A685="COMPOSICAO",S!$A:$D,I!$A:$D),3,FALSE)</f>
        <v>M</v>
      </c>
      <c r="H685" s="22">
        <f>1.19</f>
        <v>1.19</v>
      </c>
      <c r="I685" s="17">
        <f>IF(A685="COMPOSICAO",VLOOKUP("TOTAL - "&amp;B685,COMPOSICAO_AUX_1!$A:$J,10,FALSE),VLOOKUP(B685,I!$A:$D,4,FALSE))</f>
        <v>4.12</v>
      </c>
      <c r="J685" s="80">
        <f>TRUNC(H685*I685,2)</f>
        <v>4.9000000000000004</v>
      </c>
      <c r="K685" s="81"/>
      <c r="L685" s="3"/>
      <c r="M685" s="3"/>
      <c r="N685" s="3"/>
    </row>
    <row r="686" spans="1:14" ht="30" customHeight="1" x14ac:dyDescent="0.25">
      <c r="A686" s="16" t="s">
        <v>306</v>
      </c>
      <c r="B686" s="20">
        <v>21127</v>
      </c>
      <c r="C686" s="77" t="str">
        <f>VLOOKUP(B686,IF(A686="COMPOSICAO",S!$A:$D,I!$A:$D),2,FALSE)</f>
        <v>FITA ISOLANTE ADESIVA ANTICHAMA, USO ATE 750 V, EM ROLO DE 19 MM X 5 M</v>
      </c>
      <c r="D686" s="77"/>
      <c r="E686" s="77"/>
      <c r="F686" s="77"/>
      <c r="G686" s="16" t="str">
        <f>VLOOKUP(B686,IF(A686="COMPOSICAO",S!$A:$D,I!$A:$D),3,FALSE)</f>
        <v>UN</v>
      </c>
      <c r="H686" s="22">
        <f>0.009</f>
        <v>8.9999999999999993E-3</v>
      </c>
      <c r="I686" s="17">
        <f>IF(A686="COMPOSICAO",VLOOKUP("TOTAL - "&amp;B686,COMPOSICAO_AUX_1!$A:$J,10,FALSE),VLOOKUP(B686,I!$A:$D,4,FALSE))</f>
        <v>4.74</v>
      </c>
      <c r="J686" s="80">
        <f>TRUNC(H686*I686,2)</f>
        <v>0.04</v>
      </c>
      <c r="K686" s="81"/>
      <c r="L686" s="3"/>
      <c r="M686" s="3"/>
      <c r="N686" s="3"/>
    </row>
    <row r="687" spans="1:14" ht="30" customHeight="1" x14ac:dyDescent="0.25">
      <c r="A687" s="16" t="s">
        <v>302</v>
      </c>
      <c r="B687" s="20">
        <v>88247</v>
      </c>
      <c r="C687" s="77" t="str">
        <f>VLOOKUP(B687,IF(A687="COMPOSICAO",S!$A:$D,I!$A:$D),2,FALSE)</f>
        <v>AUXILIAR DE ELETRICISTA COM ENCARGOS COMPLEMENTARES</v>
      </c>
      <c r="D687" s="77"/>
      <c r="E687" s="77"/>
      <c r="F687" s="77"/>
      <c r="G687" s="16" t="str">
        <f>VLOOKUP(B687,IF(A687="COMPOSICAO",S!$A:$D,I!$A:$D),3,FALSE)</f>
        <v>H</v>
      </c>
      <c r="H687" s="22">
        <f>0.04</f>
        <v>0.04</v>
      </c>
      <c r="I687" s="17">
        <f>IF(A687="COMPOSICAO",VLOOKUP("TOTAL - "&amp;B687,COMPOSICAO_AUX_1!$A:$J,10,FALSE),VLOOKUP(B687,I!$A:$D,4,FALSE))</f>
        <v>15.469999999999999</v>
      </c>
      <c r="J687" s="80">
        <f>TRUNC(H687*I687,2)</f>
        <v>0.61</v>
      </c>
      <c r="K687" s="81"/>
      <c r="L687" s="3"/>
      <c r="M687" s="3"/>
      <c r="N687" s="3"/>
    </row>
    <row r="688" spans="1:14" ht="15" customHeight="1" x14ac:dyDescent="0.25">
      <c r="A688" s="16" t="s">
        <v>302</v>
      </c>
      <c r="B688" s="20">
        <v>88264</v>
      </c>
      <c r="C688" s="77" t="str">
        <f>VLOOKUP(B688,IF(A688="COMPOSICAO",S!$A:$D,I!$A:$D),2,FALSE)</f>
        <v>ELETRICISTA COM ENCARGOS COMPLEMENTARES</v>
      </c>
      <c r="D688" s="77"/>
      <c r="E688" s="77"/>
      <c r="F688" s="77"/>
      <c r="G688" s="16" t="str">
        <f>VLOOKUP(B688,IF(A688="COMPOSICAO",S!$A:$D,I!$A:$D),3,FALSE)</f>
        <v>H</v>
      </c>
      <c r="H688" s="22">
        <f>0.04</f>
        <v>0.04</v>
      </c>
      <c r="I688" s="17">
        <f>IF(A688="COMPOSICAO",VLOOKUP("TOTAL - "&amp;B688,COMPOSICAO_AUX_1!$A:$J,10,FALSE),VLOOKUP(B688,I!$A:$D,4,FALSE))</f>
        <v>20.02</v>
      </c>
      <c r="J688" s="80">
        <f>TRUNC(H688*I688,2)</f>
        <v>0.8</v>
      </c>
      <c r="K688" s="81"/>
      <c r="L688" s="3"/>
      <c r="M688" s="3"/>
      <c r="N688" s="3"/>
    </row>
    <row r="689" spans="1:14" ht="15" customHeight="1" x14ac:dyDescent="0.25">
      <c r="A689" s="23" t="s">
        <v>303</v>
      </c>
      <c r="B689" s="24"/>
      <c r="C689" s="24"/>
      <c r="D689" s="24"/>
      <c r="E689" s="24"/>
      <c r="F689" s="24"/>
      <c r="G689" s="25"/>
      <c r="H689" s="26"/>
      <c r="I689" s="27"/>
      <c r="J689" s="80">
        <f>SUM(J684:K688)</f>
        <v>6.3500000000000005</v>
      </c>
      <c r="K689" s="81"/>
    </row>
    <row r="690" spans="1:14" ht="15" customHeight="1" x14ac:dyDescent="0.25">
      <c r="A690" s="23" t="str">
        <f>"TAXA DE BDI ("&amp;BDI&amp;" %)"</f>
        <v>TAXA DE BDI (20,8 %)</v>
      </c>
      <c r="B690" s="24"/>
      <c r="C690" s="24"/>
      <c r="D690" s="24"/>
      <c r="E690" s="24"/>
      <c r="F690" s="24"/>
      <c r="G690" s="25"/>
      <c r="H690" s="26"/>
      <c r="I690" s="27"/>
      <c r="J690" s="80">
        <f>ROUND(J689*(BDI/100),2)</f>
        <v>1.32</v>
      </c>
      <c r="K690" s="81"/>
    </row>
    <row r="691" spans="1:14" ht="15" customHeight="1" x14ac:dyDescent="0.25">
      <c r="A691" s="23" t="s">
        <v>479</v>
      </c>
      <c r="B691" s="24"/>
      <c r="C691" s="24"/>
      <c r="D691" s="24"/>
      <c r="E691" s="24"/>
      <c r="F691" s="24"/>
      <c r="G691" s="25"/>
      <c r="H691" s="26"/>
      <c r="I691" s="27"/>
      <c r="J691" s="80">
        <f>SUM(J689:K690)</f>
        <v>7.6700000000000008</v>
      </c>
      <c r="K691" s="81"/>
    </row>
    <row r="692" spans="1:14" ht="15" customHeight="1" x14ac:dyDescent="0.25">
      <c r="A692" s="3"/>
      <c r="B692" s="3"/>
      <c r="C692" s="3"/>
      <c r="D692" s="3"/>
      <c r="E692" s="3"/>
      <c r="F692" s="3"/>
      <c r="G692" s="3"/>
      <c r="H692" s="3"/>
      <c r="I692" s="3"/>
      <c r="J692" s="3"/>
      <c r="K692" s="3"/>
    </row>
    <row r="693" spans="1:14" ht="15" customHeight="1" x14ac:dyDescent="0.25">
      <c r="A693" s="10" t="s">
        <v>295</v>
      </c>
      <c r="B693" s="10" t="s">
        <v>31</v>
      </c>
      <c r="C693" s="82" t="s">
        <v>7</v>
      </c>
      <c r="D693" s="83"/>
      <c r="E693" s="83"/>
      <c r="F693" s="83"/>
      <c r="G693" s="6" t="s">
        <v>32</v>
      </c>
      <c r="H693" s="6" t="s">
        <v>296</v>
      </c>
      <c r="I693" s="6" t="s">
        <v>297</v>
      </c>
      <c r="J693" s="57" t="s">
        <v>9</v>
      </c>
      <c r="K693" s="58"/>
    </row>
    <row r="694" spans="1:14" ht="45" customHeight="1" x14ac:dyDescent="0.25">
      <c r="A694" s="6" t="s">
        <v>469</v>
      </c>
      <c r="B694" s="28">
        <v>91927</v>
      </c>
      <c r="C694" s="91" t="str">
        <f>VLOOKUP(B694,S!$A:$D,2,FALSE)</f>
        <v>CABO DE COBRE FLEXÍVEL ISOLADO, 2,5 MM², ANTI-CHAMA 0,6/1,0 KV, PARA CIRCUITOS TERMINAIS - FORNECIMENTO E INSTALAÇÃO. AF_12/2015</v>
      </c>
      <c r="D694" s="91"/>
      <c r="E694" s="91"/>
      <c r="F694" s="92"/>
      <c r="G694" s="6" t="str">
        <f>VLOOKUP(B694,S!$A:$D,3,FALSE)</f>
        <v>M</v>
      </c>
      <c r="H694" s="21"/>
      <c r="I694" s="21">
        <f>J699</f>
        <v>5.1599999999999993</v>
      </c>
      <c r="J694" s="76"/>
      <c r="K694" s="72"/>
      <c r="L694" s="21">
        <f>VLOOKUP(B694,S!$A:$D,4,FALSE)</f>
        <v>5.16</v>
      </c>
      <c r="M694" s="6" t="str">
        <f>IF(ROUND((L694-I694),2)=0,"OK, confere com a tabela.",IF(ROUND((L694-I694),2)&lt;0,"ACIMA ("&amp;TEXT(ROUND(I694*100/L694,4),"0,0000")&amp;" %) da tabela.","ABAIXO ("&amp;TEXT(ROUND(I694*100/L694,4),"0,0000")&amp;" %) da tabela."))</f>
        <v>OK, confere com a tabela.</v>
      </c>
    </row>
    <row r="695" spans="1:14" ht="60" customHeight="1" x14ac:dyDescent="0.25">
      <c r="A695" s="16" t="s">
        <v>306</v>
      </c>
      <c r="B695" s="20">
        <v>1022</v>
      </c>
      <c r="C695" s="77" t="str">
        <f>VLOOKUP(B695,IF(A695="COMPOSICAO",S!$A:$D,I!$A:$D),2,FALSE)</f>
        <v>CABO DE COBRE, FLEXIVEL, CLASSE 4 OU 5, ISOLACAO EM PVC/A, ANTICHAMA BWF-B, COBERTURA PVC-ST1, ANTICHAMA BWF-B, 1 CONDUTOR, 0,6/1 KV, SECAO NOMINAL 2,5 MM2</v>
      </c>
      <c r="D695" s="77"/>
      <c r="E695" s="77"/>
      <c r="F695" s="77"/>
      <c r="G695" s="16" t="str">
        <f>VLOOKUP(B695,IF(A695="COMPOSICAO",S!$A:$D,I!$A:$D),3,FALSE)</f>
        <v>M</v>
      </c>
      <c r="H695" s="22">
        <f>1.19</f>
        <v>1.19</v>
      </c>
      <c r="I695" s="17">
        <f>IF(A695="COMPOSICAO",VLOOKUP("TOTAL - "&amp;B695,COMPOSICAO_AUX_1!$A:$J,10,FALSE),VLOOKUP(B695,I!$A:$D,4,FALSE))</f>
        <v>3.42</v>
      </c>
      <c r="J695" s="80">
        <f>TRUNC(H695*I695,2)</f>
        <v>4.0599999999999996</v>
      </c>
      <c r="K695" s="81"/>
      <c r="L695" s="3"/>
      <c r="M695" s="3"/>
      <c r="N695" s="3"/>
    </row>
    <row r="696" spans="1:14" ht="30" customHeight="1" x14ac:dyDescent="0.25">
      <c r="A696" s="16" t="s">
        <v>306</v>
      </c>
      <c r="B696" s="20">
        <v>21127</v>
      </c>
      <c r="C696" s="77" t="str">
        <f>VLOOKUP(B696,IF(A696="COMPOSICAO",S!$A:$D,I!$A:$D),2,FALSE)</f>
        <v>FITA ISOLANTE ADESIVA ANTICHAMA, USO ATE 750 V, EM ROLO DE 19 MM X 5 M</v>
      </c>
      <c r="D696" s="77"/>
      <c r="E696" s="77"/>
      <c r="F696" s="77"/>
      <c r="G696" s="16" t="str">
        <f>VLOOKUP(B696,IF(A696="COMPOSICAO",S!$A:$D,I!$A:$D),3,FALSE)</f>
        <v>UN</v>
      </c>
      <c r="H696" s="22">
        <f>0.009</f>
        <v>8.9999999999999993E-3</v>
      </c>
      <c r="I696" s="17">
        <f>IF(A696="COMPOSICAO",VLOOKUP("TOTAL - "&amp;B696,COMPOSICAO_AUX_1!$A:$J,10,FALSE),VLOOKUP(B696,I!$A:$D,4,FALSE))</f>
        <v>4.74</v>
      </c>
      <c r="J696" s="80">
        <f>TRUNC(H696*I696,2)</f>
        <v>0.04</v>
      </c>
      <c r="K696" s="81"/>
      <c r="L696" s="3"/>
      <c r="M696" s="3"/>
      <c r="N696" s="3"/>
    </row>
    <row r="697" spans="1:14" ht="30" customHeight="1" x14ac:dyDescent="0.25">
      <c r="A697" s="16" t="s">
        <v>302</v>
      </c>
      <c r="B697" s="20">
        <v>88247</v>
      </c>
      <c r="C697" s="77" t="str">
        <f>VLOOKUP(B697,IF(A697="COMPOSICAO",S!$A:$D,I!$A:$D),2,FALSE)</f>
        <v>AUXILIAR DE ELETRICISTA COM ENCARGOS COMPLEMENTARES</v>
      </c>
      <c r="D697" s="77"/>
      <c r="E697" s="77"/>
      <c r="F697" s="77"/>
      <c r="G697" s="16" t="str">
        <f>VLOOKUP(B697,IF(A697="COMPOSICAO",S!$A:$D,I!$A:$D),3,FALSE)</f>
        <v>H</v>
      </c>
      <c r="H697" s="22">
        <f>0.03</f>
        <v>0.03</v>
      </c>
      <c r="I697" s="17">
        <f>IF(A697="COMPOSICAO",VLOOKUP("TOTAL - "&amp;B697,COMPOSICAO_AUX_1!$A:$J,10,FALSE),VLOOKUP(B697,I!$A:$D,4,FALSE))</f>
        <v>15.469999999999999</v>
      </c>
      <c r="J697" s="80">
        <f>TRUNC(H697*I697,2)</f>
        <v>0.46</v>
      </c>
      <c r="K697" s="81"/>
      <c r="L697" s="3"/>
      <c r="M697" s="3"/>
      <c r="N697" s="3"/>
    </row>
    <row r="698" spans="1:14" ht="15" customHeight="1" x14ac:dyDescent="0.25">
      <c r="A698" s="16" t="s">
        <v>302</v>
      </c>
      <c r="B698" s="20">
        <v>88264</v>
      </c>
      <c r="C698" s="77" t="str">
        <f>VLOOKUP(B698,IF(A698="COMPOSICAO",S!$A:$D,I!$A:$D),2,FALSE)</f>
        <v>ELETRICISTA COM ENCARGOS COMPLEMENTARES</v>
      </c>
      <c r="D698" s="77"/>
      <c r="E698" s="77"/>
      <c r="F698" s="77"/>
      <c r="G698" s="16" t="str">
        <f>VLOOKUP(B698,IF(A698="COMPOSICAO",S!$A:$D,I!$A:$D),3,FALSE)</f>
        <v>H</v>
      </c>
      <c r="H698" s="22">
        <f>0.03</f>
        <v>0.03</v>
      </c>
      <c r="I698" s="17">
        <f>IF(A698="COMPOSICAO",VLOOKUP("TOTAL - "&amp;B698,COMPOSICAO_AUX_1!$A:$J,10,FALSE),VLOOKUP(B698,I!$A:$D,4,FALSE))</f>
        <v>20.02</v>
      </c>
      <c r="J698" s="80">
        <f>TRUNC(H698*I698,2)</f>
        <v>0.6</v>
      </c>
      <c r="K698" s="81"/>
      <c r="L698" s="3"/>
      <c r="M698" s="3"/>
      <c r="N698" s="3"/>
    </row>
    <row r="699" spans="1:14" ht="15" customHeight="1" x14ac:dyDescent="0.25">
      <c r="A699" s="23" t="s">
        <v>303</v>
      </c>
      <c r="B699" s="24"/>
      <c r="C699" s="24"/>
      <c r="D699" s="24"/>
      <c r="E699" s="24"/>
      <c r="F699" s="24"/>
      <c r="G699" s="25"/>
      <c r="H699" s="26"/>
      <c r="I699" s="27"/>
      <c r="J699" s="80">
        <f>SUM(J694:K698)</f>
        <v>5.1599999999999993</v>
      </c>
      <c r="K699" s="81"/>
    </row>
    <row r="700" spans="1:14" ht="15" customHeight="1" x14ac:dyDescent="0.25">
      <c r="A700" s="23" t="str">
        <f>"TAXA DE BDI ("&amp;BDI&amp;" %)"</f>
        <v>TAXA DE BDI (20,8 %)</v>
      </c>
      <c r="B700" s="24"/>
      <c r="C700" s="24"/>
      <c r="D700" s="24"/>
      <c r="E700" s="24"/>
      <c r="F700" s="24"/>
      <c r="G700" s="25"/>
      <c r="H700" s="26"/>
      <c r="I700" s="27"/>
      <c r="J700" s="80">
        <f>ROUND(J699*(BDI/100),2)</f>
        <v>1.07</v>
      </c>
      <c r="K700" s="81"/>
    </row>
    <row r="701" spans="1:14" ht="15" customHeight="1" x14ac:dyDescent="0.25">
      <c r="A701" s="23" t="s">
        <v>480</v>
      </c>
      <c r="B701" s="24"/>
      <c r="C701" s="24"/>
      <c r="D701" s="24"/>
      <c r="E701" s="24"/>
      <c r="F701" s="24"/>
      <c r="G701" s="25"/>
      <c r="H701" s="26"/>
      <c r="I701" s="27"/>
      <c r="J701" s="80">
        <f>SUM(J699:K700)</f>
        <v>6.2299999999999995</v>
      </c>
      <c r="K701" s="81"/>
    </row>
    <row r="702" spans="1:14" ht="15" customHeight="1" x14ac:dyDescent="0.25">
      <c r="A702" s="3"/>
      <c r="B702" s="3"/>
      <c r="C702" s="3"/>
      <c r="D702" s="3"/>
      <c r="E702" s="3"/>
      <c r="F702" s="3"/>
      <c r="G702" s="3"/>
      <c r="H702" s="3"/>
      <c r="I702" s="3"/>
      <c r="J702" s="3"/>
      <c r="K702" s="3"/>
    </row>
    <row r="703" spans="1:14" ht="15" customHeight="1" x14ac:dyDescent="0.25">
      <c r="A703" s="10" t="s">
        <v>295</v>
      </c>
      <c r="B703" s="10" t="s">
        <v>31</v>
      </c>
      <c r="C703" s="82" t="s">
        <v>7</v>
      </c>
      <c r="D703" s="83"/>
      <c r="E703" s="83"/>
      <c r="F703" s="83"/>
      <c r="G703" s="6" t="s">
        <v>32</v>
      </c>
      <c r="H703" s="6" t="s">
        <v>296</v>
      </c>
      <c r="I703" s="6" t="s">
        <v>297</v>
      </c>
      <c r="J703" s="57" t="s">
        <v>9</v>
      </c>
      <c r="K703" s="58"/>
    </row>
    <row r="704" spans="1:14" ht="60" customHeight="1" x14ac:dyDescent="0.25">
      <c r="A704" s="6" t="s">
        <v>469</v>
      </c>
      <c r="B704" s="28">
        <v>91834</v>
      </c>
      <c r="C704" s="91" t="str">
        <f>VLOOKUP(B704,S!$A:$D,2,FALSE)</f>
        <v>ELETRODUTO FLEXÍVEL CORRUGADO, PVC, DN 25 MM (3/4"), PARA CIRCUITOS TERMINAIS, INSTALADO EM FORRO - FORNECIMENTO E INSTALAÇÃO. AF_12/2015</v>
      </c>
      <c r="D704" s="91"/>
      <c r="E704" s="91"/>
      <c r="F704" s="92"/>
      <c r="G704" s="6" t="str">
        <f>VLOOKUP(B704,S!$A:$D,3,FALSE)</f>
        <v>M</v>
      </c>
      <c r="H704" s="21"/>
      <c r="I704" s="21">
        <f>J709</f>
        <v>6.91</v>
      </c>
      <c r="J704" s="76"/>
      <c r="K704" s="72"/>
      <c r="L704" s="21">
        <f>VLOOKUP(B704,S!$A:$D,4,FALSE)</f>
        <v>6.91</v>
      </c>
      <c r="M704" s="6" t="str">
        <f>IF(ROUND((L704-I704),2)=0,"OK, confere com a tabela.",IF(ROUND((L704-I704),2)&lt;0,"ACIMA ("&amp;TEXT(ROUND(I704*100/L704,4),"0,0000")&amp;" %) da tabela.","ABAIXO ("&amp;TEXT(ROUND(I704*100/L704,4),"0,0000")&amp;" %) da tabela."))</f>
        <v>OK, confere com a tabela.</v>
      </c>
    </row>
    <row r="705" spans="1:14" ht="30" customHeight="1" x14ac:dyDescent="0.25">
      <c r="A705" s="16" t="s">
        <v>306</v>
      </c>
      <c r="B705" s="20">
        <v>2688</v>
      </c>
      <c r="C705" s="77" t="str">
        <f>VLOOKUP(B705,IF(A705="COMPOSICAO",S!$A:$D,I!$A:$D),2,FALSE)</f>
        <v>ELETRODUTO PVC FLEXIVEL CORRUGADO, COR AMARELA, DE 25 MM</v>
      </c>
      <c r="D705" s="77"/>
      <c r="E705" s="77"/>
      <c r="F705" s="77"/>
      <c r="G705" s="16" t="str">
        <f>VLOOKUP(B705,IF(A705="COMPOSICAO",S!$A:$D,I!$A:$D),3,FALSE)</f>
        <v>M</v>
      </c>
      <c r="H705" s="22">
        <f>1.1</f>
        <v>1.1000000000000001</v>
      </c>
      <c r="I705" s="17">
        <f>IF(A705="COMPOSICAO",VLOOKUP("TOTAL - "&amp;B705,COMPOSICAO_AUX_1!$A:$J,10,FALSE),VLOOKUP(B705,I!$A:$D,4,FALSE))</f>
        <v>1.8</v>
      </c>
      <c r="J705" s="80">
        <f>TRUNC(H705*I705,2)</f>
        <v>1.98</v>
      </c>
      <c r="K705" s="81"/>
      <c r="L705" s="3"/>
      <c r="M705" s="3"/>
      <c r="N705" s="3"/>
    </row>
    <row r="706" spans="1:14" ht="30" customHeight="1" x14ac:dyDescent="0.25">
      <c r="A706" s="16" t="s">
        <v>302</v>
      </c>
      <c r="B706" s="20">
        <v>88247</v>
      </c>
      <c r="C706" s="77" t="str">
        <f>VLOOKUP(B706,IF(A706="COMPOSICAO",S!$A:$D,I!$A:$D),2,FALSE)</f>
        <v>AUXILIAR DE ELETRICISTA COM ENCARGOS COMPLEMENTARES</v>
      </c>
      <c r="D706" s="77"/>
      <c r="E706" s="77"/>
      <c r="F706" s="77"/>
      <c r="G706" s="16" t="str">
        <f>VLOOKUP(B706,IF(A706="COMPOSICAO",S!$A:$D,I!$A:$D),3,FALSE)</f>
        <v>H</v>
      </c>
      <c r="H706" s="22">
        <f>0.07</f>
        <v>7.0000000000000007E-2</v>
      </c>
      <c r="I706" s="17">
        <f>IF(A706="COMPOSICAO",VLOOKUP("TOTAL - "&amp;B706,COMPOSICAO_AUX_1!$A:$J,10,FALSE),VLOOKUP(B706,I!$A:$D,4,FALSE))</f>
        <v>15.469999999999999</v>
      </c>
      <c r="J706" s="80">
        <f>TRUNC(H706*I706,2)</f>
        <v>1.08</v>
      </c>
      <c r="K706" s="81"/>
      <c r="L706" s="3"/>
      <c r="M706" s="3"/>
      <c r="N706" s="3"/>
    </row>
    <row r="707" spans="1:14" ht="15" customHeight="1" x14ac:dyDescent="0.25">
      <c r="A707" s="16" t="s">
        <v>302</v>
      </c>
      <c r="B707" s="20">
        <v>88264</v>
      </c>
      <c r="C707" s="77" t="str">
        <f>VLOOKUP(B707,IF(A707="COMPOSICAO",S!$A:$D,I!$A:$D),2,FALSE)</f>
        <v>ELETRICISTA COM ENCARGOS COMPLEMENTARES</v>
      </c>
      <c r="D707" s="77"/>
      <c r="E707" s="77"/>
      <c r="F707" s="77"/>
      <c r="G707" s="16" t="str">
        <f>VLOOKUP(B707,IF(A707="COMPOSICAO",S!$A:$D,I!$A:$D),3,FALSE)</f>
        <v>H</v>
      </c>
      <c r="H707" s="22">
        <f>0.07</f>
        <v>7.0000000000000007E-2</v>
      </c>
      <c r="I707" s="17">
        <f>IF(A707="COMPOSICAO",VLOOKUP("TOTAL - "&amp;B707,COMPOSICAO_AUX_1!$A:$J,10,FALSE),VLOOKUP(B707,I!$A:$D,4,FALSE))</f>
        <v>20.02</v>
      </c>
      <c r="J707" s="80">
        <f>TRUNC(H707*I707,2)</f>
        <v>1.4</v>
      </c>
      <c r="K707" s="81"/>
      <c r="L707" s="3"/>
      <c r="M707" s="3"/>
      <c r="N707" s="3"/>
    </row>
    <row r="708" spans="1:14" ht="75" customHeight="1" x14ac:dyDescent="0.25">
      <c r="A708" s="16" t="s">
        <v>302</v>
      </c>
      <c r="B708" s="20">
        <v>91170</v>
      </c>
      <c r="C708" s="77" t="str">
        <f>VLOOKUP(B708,IF(A708="COMPOSICAO",S!$A:$D,I!$A:$D),2,FALSE)</f>
        <v>FIXAÇÃO DE TUBOS HORIZONTAIS DE PVC, CPVC OU COBRE DIÂMETROS MENORES OU IGUAIS A 40 MM OU ELETROCALHAS ATÉ 150MM DE LARGURA, COM ABRAÇADEIRA METÁLICA RÍGIDA TIPO D 1/2, FIXADA EM PERFILADO EM LAJE. AF_05/2015</v>
      </c>
      <c r="D708" s="77"/>
      <c r="E708" s="77"/>
      <c r="F708" s="77"/>
      <c r="G708" s="16" t="str">
        <f>VLOOKUP(B708,IF(A708="COMPOSICAO",S!$A:$D,I!$A:$D),3,FALSE)</f>
        <v>M</v>
      </c>
      <c r="H708" s="22">
        <f>1</f>
        <v>1</v>
      </c>
      <c r="I708" s="17">
        <f>IF(A708="COMPOSICAO",VLOOKUP("TOTAL - "&amp;B708,COMPOSICAO_AUX_1!$A:$J,10,FALSE),VLOOKUP(B708,I!$A:$D,4,FALSE))</f>
        <v>2.4500000000000002</v>
      </c>
      <c r="J708" s="80">
        <f>TRUNC(H708*I708,2)</f>
        <v>2.4500000000000002</v>
      </c>
      <c r="K708" s="81"/>
      <c r="L708" s="3"/>
      <c r="M708" s="3"/>
      <c r="N708" s="3"/>
    </row>
    <row r="709" spans="1:14" ht="15" customHeight="1" x14ac:dyDescent="0.25">
      <c r="A709" s="23" t="s">
        <v>303</v>
      </c>
      <c r="B709" s="24"/>
      <c r="C709" s="24"/>
      <c r="D709" s="24"/>
      <c r="E709" s="24"/>
      <c r="F709" s="24"/>
      <c r="G709" s="25"/>
      <c r="H709" s="26"/>
      <c r="I709" s="27"/>
      <c r="J709" s="80">
        <f>SUM(J704:K708)</f>
        <v>6.91</v>
      </c>
      <c r="K709" s="81"/>
    </row>
    <row r="710" spans="1:14" ht="15" customHeight="1" x14ac:dyDescent="0.25">
      <c r="A710" s="23" t="str">
        <f>"TAXA DE BDI ("&amp;BDI&amp;" %)"</f>
        <v>TAXA DE BDI (20,8 %)</v>
      </c>
      <c r="B710" s="24"/>
      <c r="C710" s="24"/>
      <c r="D710" s="24"/>
      <c r="E710" s="24"/>
      <c r="F710" s="24"/>
      <c r="G710" s="25"/>
      <c r="H710" s="26"/>
      <c r="I710" s="27"/>
      <c r="J710" s="80">
        <f>ROUND(J709*(BDI/100),2)</f>
        <v>1.44</v>
      </c>
      <c r="K710" s="81"/>
    </row>
    <row r="711" spans="1:14" ht="15" customHeight="1" x14ac:dyDescent="0.25">
      <c r="A711" s="23" t="s">
        <v>481</v>
      </c>
      <c r="B711" s="24"/>
      <c r="C711" s="24"/>
      <c r="D711" s="24"/>
      <c r="E711" s="24"/>
      <c r="F711" s="24"/>
      <c r="G711" s="25"/>
      <c r="H711" s="26"/>
      <c r="I711" s="27"/>
      <c r="J711" s="80">
        <f>SUM(J709:K710)</f>
        <v>8.35</v>
      </c>
      <c r="K711" s="81"/>
    </row>
    <row r="712" spans="1:14" ht="15" customHeight="1" x14ac:dyDescent="0.25">
      <c r="A712" s="3"/>
      <c r="B712" s="3"/>
      <c r="C712" s="3"/>
      <c r="D712" s="3"/>
      <c r="E712" s="3"/>
      <c r="F712" s="3"/>
      <c r="G712" s="3"/>
      <c r="H712" s="3"/>
      <c r="I712" s="3"/>
      <c r="J712" s="3"/>
      <c r="K712" s="3"/>
    </row>
    <row r="713" spans="1:14" ht="15" customHeight="1" x14ac:dyDescent="0.25">
      <c r="A713" s="10" t="s">
        <v>295</v>
      </c>
      <c r="B713" s="10" t="s">
        <v>31</v>
      </c>
      <c r="C713" s="82" t="s">
        <v>7</v>
      </c>
      <c r="D713" s="83"/>
      <c r="E713" s="83"/>
      <c r="F713" s="83"/>
      <c r="G713" s="6" t="s">
        <v>32</v>
      </c>
      <c r="H713" s="6" t="s">
        <v>296</v>
      </c>
      <c r="I713" s="6" t="s">
        <v>297</v>
      </c>
      <c r="J713" s="57" t="s">
        <v>9</v>
      </c>
      <c r="K713" s="58"/>
    </row>
    <row r="714" spans="1:14" ht="30" customHeight="1" x14ac:dyDescent="0.25">
      <c r="A714" s="6" t="s">
        <v>11</v>
      </c>
      <c r="B714" s="6" t="s">
        <v>482</v>
      </c>
      <c r="C714" s="91" t="str">
        <f>VLOOKUP(B714,S!$A:$D,2,FALSE)</f>
        <v>LUMINÁRIA COM LAMPADA LED TUBULAR BIVOLT 18/20 W, BASE G13 - REV 01</v>
      </c>
      <c r="D714" s="91"/>
      <c r="E714" s="91"/>
      <c r="F714" s="92"/>
      <c r="G714" s="6" t="str">
        <f>VLOOKUP(B714,S!$A:$D,3,FALSE)</f>
        <v>UN</v>
      </c>
      <c r="H714" s="21"/>
      <c r="I714" s="21">
        <f>J720</f>
        <v>72.58</v>
      </c>
      <c r="J714" s="76"/>
      <c r="K714" s="72"/>
      <c r="L714" s="21">
        <f>VLOOKUP(B714,S!$A:$D,4,FALSE)</f>
        <v>66.709999999999994</v>
      </c>
      <c r="M714" s="6" t="str">
        <f>IF(ROUND((L714-I714),2)=0,"OK, confere com a tabela.",IF(ROUND((L714-I714),2)&lt;0,"ACIMA ("&amp;TEXT(ROUND(I714*100/L714,4),"0,0000")&amp;" %) da tabela.","ABAIXO ("&amp;TEXT(ROUND(I714*100/L714,4),"0,0000")&amp;" %) da tabela."))</f>
        <v>ACIMA (108,7993 %) da tabela.</v>
      </c>
    </row>
    <row r="715" spans="1:14" ht="30" customHeight="1" x14ac:dyDescent="0.25">
      <c r="A715" s="16" t="s">
        <v>306</v>
      </c>
      <c r="B715" s="16" t="s">
        <v>483</v>
      </c>
      <c r="C715" s="77" t="str">
        <f>VLOOKUP(B715,IF(A715="COMPOSICAO",S!$A:$D,I!$A:$D),2,FALSE)</f>
        <v>LUMINÁRIA (CALHA) P/  LAMPADA FLUORESCENTE 1 X 40W/TUBULAR LED 18W A 20W</v>
      </c>
      <c r="D715" s="77"/>
      <c r="E715" s="77"/>
      <c r="F715" s="77"/>
      <c r="G715" s="16" t="str">
        <f>VLOOKUP(B715,IF(A715="COMPOSICAO",S!$A:$D,I!$A:$D),3,FALSE)</f>
        <v>UN</v>
      </c>
      <c r="H715" s="22">
        <f>1</f>
        <v>1</v>
      </c>
      <c r="I715" s="17">
        <f>IF(A715="COMPOSICAO",VLOOKUP("TOTAL - "&amp;B715,COMPOSICAO_AUX_1!$A:$J,10,FALSE),VLOOKUP(B715,I!$A:$D,4,FALSE))</f>
        <v>26.67</v>
      </c>
      <c r="J715" s="80">
        <f t="shared" ref="J715:J719" si="30">TRUNC(H715*I715,2)</f>
        <v>26.67</v>
      </c>
      <c r="K715" s="81"/>
      <c r="L715" s="3"/>
      <c r="M715" s="3"/>
      <c r="N715" s="3"/>
    </row>
    <row r="716" spans="1:14" ht="15" customHeight="1" x14ac:dyDescent="0.25">
      <c r="A716" s="16" t="s">
        <v>302</v>
      </c>
      <c r="B716" s="20">
        <v>88264</v>
      </c>
      <c r="C716" s="77" t="str">
        <f>VLOOKUP(B716,IF(A716="COMPOSICAO",S!$A:$D,I!$A:$D),2,FALSE)</f>
        <v>ELETRICISTA COM ENCARGOS COMPLEMENTARES</v>
      </c>
      <c r="D716" s="77"/>
      <c r="E716" s="77"/>
      <c r="F716" s="77"/>
      <c r="G716" s="16" t="str">
        <f>VLOOKUP(B716,IF(A716="COMPOSICAO",S!$A:$D,I!$A:$D),3,FALSE)</f>
        <v>H</v>
      </c>
      <c r="H716" s="22">
        <f>0.5</f>
        <v>0.5</v>
      </c>
      <c r="I716" s="17">
        <f>IF(A716="COMPOSICAO",VLOOKUP("TOTAL - "&amp;B716,COMPOSICAO_AUX_1!$A:$J,10,FALSE),VLOOKUP(B716,I!$A:$D,4,FALSE))</f>
        <v>20.02</v>
      </c>
      <c r="J716" s="80">
        <f t="shared" si="30"/>
        <v>10.01</v>
      </c>
      <c r="K716" s="81"/>
      <c r="L716" s="3"/>
      <c r="M716" s="3"/>
      <c r="N716" s="3"/>
    </row>
    <row r="717" spans="1:14" ht="15" customHeight="1" x14ac:dyDescent="0.25">
      <c r="A717" s="16" t="s">
        <v>302</v>
      </c>
      <c r="B717" s="20">
        <v>88316</v>
      </c>
      <c r="C717" s="77" t="str">
        <f>VLOOKUP(B717,IF(A717="COMPOSICAO",S!$A:$D,I!$A:$D),2,FALSE)</f>
        <v>SERVENTE COM ENCARGOS COMPLEMENTARES</v>
      </c>
      <c r="D717" s="77"/>
      <c r="E717" s="77"/>
      <c r="F717" s="77"/>
      <c r="G717" s="16" t="str">
        <f>VLOOKUP(B717,IF(A717="COMPOSICAO",S!$A:$D,I!$A:$D),3,FALSE)</f>
        <v>H</v>
      </c>
      <c r="H717" s="22">
        <f>0.5</f>
        <v>0.5</v>
      </c>
      <c r="I717" s="17">
        <f>IF(A717="COMPOSICAO",VLOOKUP("TOTAL - "&amp;B717,COMPOSICAO_AUX_1!$A:$J,10,FALSE),VLOOKUP(B717,I!$A:$D,4,FALSE))</f>
        <v>15.35</v>
      </c>
      <c r="J717" s="80">
        <f t="shared" si="30"/>
        <v>7.67</v>
      </c>
      <c r="K717" s="81"/>
      <c r="L717" s="3"/>
      <c r="M717" s="3"/>
      <c r="N717" s="3"/>
    </row>
    <row r="718" spans="1:14" ht="15" customHeight="1" x14ac:dyDescent="0.25">
      <c r="A718" s="16" t="s">
        <v>306</v>
      </c>
      <c r="B718" s="20">
        <v>39387</v>
      </c>
      <c r="C718" s="77" t="str">
        <f>VLOOKUP(B718,IF(A718="COMPOSICAO",S!$A:$D,I!$A:$D),2,FALSE)</f>
        <v>LAMPADA LED TUBULAR BIVOLT 18/20 W, BASE G13</v>
      </c>
      <c r="D718" s="77"/>
      <c r="E718" s="77"/>
      <c r="F718" s="77"/>
      <c r="G718" s="16" t="str">
        <f>VLOOKUP(B718,IF(A718="COMPOSICAO",S!$A:$D,I!$A:$D),3,FALSE)</f>
        <v>UN</v>
      </c>
      <c r="H718" s="22">
        <f>1</f>
        <v>1</v>
      </c>
      <c r="I718" s="17">
        <f>IF(A718="COMPOSICAO",VLOOKUP("TOTAL - "&amp;B718,COMPOSICAO_AUX_1!$A:$J,10,FALSE),VLOOKUP(B718,I!$A:$D,4,FALSE))</f>
        <v>19.170000000000002</v>
      </c>
      <c r="J718" s="80">
        <f t="shared" si="30"/>
        <v>19.170000000000002</v>
      </c>
      <c r="K718" s="81"/>
      <c r="L718" s="3"/>
      <c r="M718" s="3"/>
      <c r="N718" s="3"/>
    </row>
    <row r="719" spans="1:14" ht="30" customHeight="1" x14ac:dyDescent="0.25">
      <c r="A719" s="16" t="s">
        <v>302</v>
      </c>
      <c r="B719" s="16" t="s">
        <v>484</v>
      </c>
      <c r="C719" s="77" t="str">
        <f>VLOOKUP(B719,IF(A719="COMPOSICAO",S!$A:$D,I!$A:$D),2,FALSE)</f>
        <v>SUPORTE ( RECEPTÁCULO) P/ LÂMPADA FLUORESCENTE</v>
      </c>
      <c r="D719" s="77"/>
      <c r="E719" s="77"/>
      <c r="F719" s="77"/>
      <c r="G719" s="16" t="str">
        <f>VLOOKUP(B719,IF(A719="COMPOSICAO",S!$A:$D,I!$A:$D),3,FALSE)</f>
        <v>UN</v>
      </c>
      <c r="H719" s="22">
        <f>2</f>
        <v>2</v>
      </c>
      <c r="I719" s="17">
        <f>IF(A719="COMPOSICAO",VLOOKUP("TOTAL - "&amp;B719,COMPOSICAO_AUX_1!$A:$J,10,FALSE),VLOOKUP(B719,I!$A:$D,4,FALSE))</f>
        <v>4.53</v>
      </c>
      <c r="J719" s="80">
        <f t="shared" si="30"/>
        <v>9.06</v>
      </c>
      <c r="K719" s="81"/>
      <c r="L719" s="3"/>
      <c r="M719" s="3"/>
      <c r="N719" s="3"/>
    </row>
    <row r="720" spans="1:14" ht="15" customHeight="1" x14ac:dyDescent="0.25">
      <c r="A720" s="23" t="s">
        <v>303</v>
      </c>
      <c r="B720" s="24"/>
      <c r="C720" s="24"/>
      <c r="D720" s="24"/>
      <c r="E720" s="24"/>
      <c r="F720" s="24"/>
      <c r="G720" s="25"/>
      <c r="H720" s="26"/>
      <c r="I720" s="27"/>
      <c r="J720" s="80">
        <f>SUM(J714:K719)</f>
        <v>72.58</v>
      </c>
      <c r="K720" s="81"/>
    </row>
    <row r="721" spans="1:14" ht="15" customHeight="1" x14ac:dyDescent="0.25">
      <c r="A721" s="23" t="str">
        <f>"TAXA DE BDI ("&amp;BDI&amp;" %)"</f>
        <v>TAXA DE BDI (20,8 %)</v>
      </c>
      <c r="B721" s="24"/>
      <c r="C721" s="24"/>
      <c r="D721" s="24"/>
      <c r="E721" s="24"/>
      <c r="F721" s="24"/>
      <c r="G721" s="25"/>
      <c r="H721" s="26"/>
      <c r="I721" s="27"/>
      <c r="J721" s="80">
        <f>ROUND(J720*(BDI/100),2)</f>
        <v>15.1</v>
      </c>
      <c r="K721" s="81"/>
    </row>
    <row r="722" spans="1:14" ht="15" customHeight="1" x14ac:dyDescent="0.25">
      <c r="A722" s="23" t="s">
        <v>485</v>
      </c>
      <c r="B722" s="24"/>
      <c r="C722" s="24"/>
      <c r="D722" s="24"/>
      <c r="E722" s="24"/>
      <c r="F722" s="24"/>
      <c r="G722" s="25"/>
      <c r="H722" s="26"/>
      <c r="I722" s="27"/>
      <c r="J722" s="80">
        <f>SUM(J720:K721)</f>
        <v>87.679999999999993</v>
      </c>
      <c r="K722" s="81"/>
    </row>
    <row r="723" spans="1:14" ht="15" customHeight="1" x14ac:dyDescent="0.25">
      <c r="A723" s="3"/>
      <c r="B723" s="3"/>
      <c r="C723" s="3"/>
      <c r="D723" s="3"/>
      <c r="E723" s="3"/>
      <c r="F723" s="3"/>
      <c r="G723" s="3"/>
      <c r="H723" s="3"/>
      <c r="I723" s="3"/>
      <c r="J723" s="3"/>
      <c r="K723" s="3"/>
    </row>
    <row r="724" spans="1:14" ht="15" customHeight="1" x14ac:dyDescent="0.25">
      <c r="A724" s="10" t="s">
        <v>295</v>
      </c>
      <c r="B724" s="10" t="s">
        <v>31</v>
      </c>
      <c r="C724" s="82" t="s">
        <v>7</v>
      </c>
      <c r="D724" s="83"/>
      <c r="E724" s="83"/>
      <c r="F724" s="83"/>
      <c r="G724" s="6" t="s">
        <v>32</v>
      </c>
      <c r="H724" s="6" t="s">
        <v>296</v>
      </c>
      <c r="I724" s="6" t="s">
        <v>297</v>
      </c>
      <c r="J724" s="57" t="s">
        <v>9</v>
      </c>
      <c r="K724" s="58"/>
    </row>
    <row r="725" spans="1:14" ht="45" customHeight="1" x14ac:dyDescent="0.25">
      <c r="A725" s="6" t="s">
        <v>469</v>
      </c>
      <c r="B725" s="28">
        <v>91953</v>
      </c>
      <c r="C725" s="91" t="str">
        <f>VLOOKUP(B725,S!$A:$D,2,FALSE)</f>
        <v>INTERRUPTOR SIMPLES (1 MÓDULO), 10A/250V, INCLUINDO SUPORTE E PLACA - FORNECIMENTO E INSTALAÇÃO. AF_12/2015</v>
      </c>
      <c r="D725" s="91"/>
      <c r="E725" s="91"/>
      <c r="F725" s="92"/>
      <c r="G725" s="6" t="str">
        <f>VLOOKUP(B725,S!$A:$D,3,FALSE)</f>
        <v>UN</v>
      </c>
      <c r="H725" s="21"/>
      <c r="I725" s="21">
        <f>J728</f>
        <v>21.52</v>
      </c>
      <c r="J725" s="76"/>
      <c r="K725" s="72"/>
      <c r="L725" s="21">
        <f>VLOOKUP(B725,S!$A:$D,4,FALSE)</f>
        <v>21.52</v>
      </c>
      <c r="M725" s="6" t="str">
        <f>IF(ROUND((L725-I725),2)=0,"OK, confere com a tabela.",IF(ROUND((L725-I725),2)&lt;0,"ACIMA ("&amp;TEXT(ROUND(I725*100/L725,4),"0,0000")&amp;" %) da tabela.","ABAIXO ("&amp;TEXT(ROUND(I725*100/L725,4),"0,0000")&amp;" %) da tabela."))</f>
        <v>OK, confere com a tabela.</v>
      </c>
    </row>
    <row r="726" spans="1:14" ht="45" customHeight="1" x14ac:dyDescent="0.25">
      <c r="A726" s="16" t="s">
        <v>302</v>
      </c>
      <c r="B726" s="20">
        <v>91946</v>
      </c>
      <c r="C726" s="77" t="str">
        <f>VLOOKUP(B726,IF(A726="COMPOSICAO",S!$A:$D,I!$A:$D),2,FALSE)</f>
        <v>SUPORTE PARAFUSADO COM PLACA DE ENCAIXE 4" X 2" MÉDIO (1,30 M DO PISO) PARA PONTO ELÉTRICO - FORNECIMENTO E INSTALAÇÃO. AF_12/2015</v>
      </c>
      <c r="D726" s="77"/>
      <c r="E726" s="77"/>
      <c r="F726" s="77"/>
      <c r="G726" s="16" t="str">
        <f>VLOOKUP(B726,IF(A726="COMPOSICAO",S!$A:$D,I!$A:$D),3,FALSE)</f>
        <v>UN</v>
      </c>
      <c r="H726" s="22">
        <f>1</f>
        <v>1</v>
      </c>
      <c r="I726" s="17">
        <f>IF(A726="COMPOSICAO",VLOOKUP("TOTAL - "&amp;B726,COMPOSICAO_AUX_1!$A:$J,10,FALSE),VLOOKUP(B726,I!$A:$D,4,FALSE))</f>
        <v>6.8100000000000005</v>
      </c>
      <c r="J726" s="80">
        <f>TRUNC(H726*I726,2)</f>
        <v>6.81</v>
      </c>
      <c r="K726" s="81"/>
      <c r="L726" s="3"/>
      <c r="M726" s="3"/>
      <c r="N726" s="3"/>
    </row>
    <row r="727" spans="1:14" ht="45" customHeight="1" x14ac:dyDescent="0.25">
      <c r="A727" s="16" t="s">
        <v>302</v>
      </c>
      <c r="B727" s="20">
        <v>91952</v>
      </c>
      <c r="C727" s="77" t="str">
        <f>VLOOKUP(B727,IF(A727="COMPOSICAO",S!$A:$D,I!$A:$D),2,FALSE)</f>
        <v>INTERRUPTOR SIMPLES (1 MÓDULO), 10A/250V, SEM SUPORTE E SEM PLACA - FORNECIMENTO E INSTALAÇÃO. AF_12/2015</v>
      </c>
      <c r="D727" s="77"/>
      <c r="E727" s="77"/>
      <c r="F727" s="77"/>
      <c r="G727" s="16" t="str">
        <f>VLOOKUP(B727,IF(A727="COMPOSICAO",S!$A:$D,I!$A:$D),3,FALSE)</f>
        <v>UN</v>
      </c>
      <c r="H727" s="22">
        <f>1</f>
        <v>1</v>
      </c>
      <c r="I727" s="17">
        <f>IF(A727="COMPOSICAO",VLOOKUP("TOTAL - "&amp;B727,COMPOSICAO_AUX_1!$A:$J,10,FALSE),VLOOKUP(B727,I!$A:$D,4,FALSE))</f>
        <v>14.71</v>
      </c>
      <c r="J727" s="80">
        <f>TRUNC(H727*I727,2)</f>
        <v>14.71</v>
      </c>
      <c r="K727" s="81"/>
      <c r="L727" s="3"/>
      <c r="M727" s="3"/>
      <c r="N727" s="3"/>
    </row>
    <row r="728" spans="1:14" ht="15" customHeight="1" x14ac:dyDescent="0.25">
      <c r="A728" s="23" t="s">
        <v>303</v>
      </c>
      <c r="B728" s="24"/>
      <c r="C728" s="24"/>
      <c r="D728" s="24"/>
      <c r="E728" s="24"/>
      <c r="F728" s="24"/>
      <c r="G728" s="25"/>
      <c r="H728" s="26"/>
      <c r="I728" s="27"/>
      <c r="J728" s="80">
        <f>SUM(J725:K727)</f>
        <v>21.52</v>
      </c>
      <c r="K728" s="81"/>
    </row>
    <row r="729" spans="1:14" ht="15" customHeight="1" x14ac:dyDescent="0.25">
      <c r="A729" s="23" t="str">
        <f>"TAXA DE BDI ("&amp;BDI&amp;" %)"</f>
        <v>TAXA DE BDI (20,8 %)</v>
      </c>
      <c r="B729" s="24"/>
      <c r="C729" s="24"/>
      <c r="D729" s="24"/>
      <c r="E729" s="24"/>
      <c r="F729" s="24"/>
      <c r="G729" s="25"/>
      <c r="H729" s="26"/>
      <c r="I729" s="27"/>
      <c r="J729" s="80">
        <f>ROUND(J728*(BDI/100),2)</f>
        <v>4.4800000000000004</v>
      </c>
      <c r="K729" s="81"/>
    </row>
    <row r="730" spans="1:14" ht="15" customHeight="1" x14ac:dyDescent="0.25">
      <c r="A730" s="23" t="s">
        <v>486</v>
      </c>
      <c r="B730" s="24"/>
      <c r="C730" s="24"/>
      <c r="D730" s="24"/>
      <c r="E730" s="24"/>
      <c r="F730" s="24"/>
      <c r="G730" s="25"/>
      <c r="H730" s="26"/>
      <c r="I730" s="27"/>
      <c r="J730" s="80">
        <f>SUM(J728:K729)</f>
        <v>26</v>
      </c>
      <c r="K730" s="81"/>
    </row>
    <row r="731" spans="1:14" ht="15" customHeight="1" x14ac:dyDescent="0.25">
      <c r="A731" s="3"/>
      <c r="B731" s="3"/>
      <c r="C731" s="3"/>
      <c r="D731" s="3"/>
      <c r="E731" s="3"/>
      <c r="F731" s="3"/>
      <c r="G731" s="3"/>
      <c r="H731" s="3"/>
      <c r="I731" s="3"/>
      <c r="J731" s="3"/>
      <c r="K731" s="3"/>
    </row>
    <row r="732" spans="1:14" ht="15" customHeight="1" x14ac:dyDescent="0.25">
      <c r="A732" s="10" t="s">
        <v>295</v>
      </c>
      <c r="B732" s="10" t="s">
        <v>31</v>
      </c>
      <c r="C732" s="82" t="s">
        <v>7</v>
      </c>
      <c r="D732" s="83"/>
      <c r="E732" s="83"/>
      <c r="F732" s="83"/>
      <c r="G732" s="6" t="s">
        <v>32</v>
      </c>
      <c r="H732" s="6" t="s">
        <v>296</v>
      </c>
      <c r="I732" s="6" t="s">
        <v>297</v>
      </c>
      <c r="J732" s="57" t="s">
        <v>9</v>
      </c>
      <c r="K732" s="58"/>
    </row>
    <row r="733" spans="1:14" ht="45" customHeight="1" x14ac:dyDescent="0.25">
      <c r="A733" s="6" t="s">
        <v>469</v>
      </c>
      <c r="B733" s="28">
        <v>91969</v>
      </c>
      <c r="C733" s="91" t="str">
        <f>VLOOKUP(B733,S!$A:$D,2,FALSE)</f>
        <v>INTERRUPTOR PARALELO (3 MÓDULOS), 10A/250V, INCLUINDO SUPORTE E PLACA - FORNECIMENTO E INSTALAÇÃO. AF_12/2015</v>
      </c>
      <c r="D733" s="91"/>
      <c r="E733" s="91"/>
      <c r="F733" s="92"/>
      <c r="G733" s="6" t="str">
        <f>VLOOKUP(B733,S!$A:$D,3,FALSE)</f>
        <v>UN</v>
      </c>
      <c r="H733" s="21"/>
      <c r="I733" s="21">
        <f>J736</f>
        <v>61.54</v>
      </c>
      <c r="J733" s="76"/>
      <c r="K733" s="72"/>
      <c r="L733" s="21">
        <f>VLOOKUP(B733,S!$A:$D,4,FALSE)</f>
        <v>61.54</v>
      </c>
      <c r="M733" s="6" t="str">
        <f>IF(ROUND((L733-I733),2)=0,"OK, confere com a tabela.",IF(ROUND((L733-I733),2)&lt;0,"ACIMA ("&amp;TEXT(ROUND(I733*100/L733,4),"0,0000")&amp;" %) da tabela.","ABAIXO ("&amp;TEXT(ROUND(I733*100/L733,4),"0,0000")&amp;" %) da tabela."))</f>
        <v>OK, confere com a tabela.</v>
      </c>
    </row>
    <row r="734" spans="1:14" ht="45" customHeight="1" x14ac:dyDescent="0.25">
      <c r="A734" s="16" t="s">
        <v>302</v>
      </c>
      <c r="B734" s="20">
        <v>91946</v>
      </c>
      <c r="C734" s="77" t="str">
        <f>VLOOKUP(B734,IF(A734="COMPOSICAO",S!$A:$D,I!$A:$D),2,FALSE)</f>
        <v>SUPORTE PARAFUSADO COM PLACA DE ENCAIXE 4" X 2" MÉDIO (1,30 M DO PISO) PARA PONTO ELÉTRICO - FORNECIMENTO E INSTALAÇÃO. AF_12/2015</v>
      </c>
      <c r="D734" s="77"/>
      <c r="E734" s="77"/>
      <c r="F734" s="77"/>
      <c r="G734" s="16" t="str">
        <f>VLOOKUP(B734,IF(A734="COMPOSICAO",S!$A:$D,I!$A:$D),3,FALSE)</f>
        <v>UN</v>
      </c>
      <c r="H734" s="22">
        <f>1</f>
        <v>1</v>
      </c>
      <c r="I734" s="17">
        <f>IF(A734="COMPOSICAO",VLOOKUP("TOTAL - "&amp;B734,COMPOSICAO_AUX_1!$A:$J,10,FALSE),VLOOKUP(B734,I!$A:$D,4,FALSE))</f>
        <v>6.8100000000000005</v>
      </c>
      <c r="J734" s="80">
        <f>TRUNC(H734*I734,2)</f>
        <v>6.81</v>
      </c>
      <c r="K734" s="81"/>
      <c r="L734" s="3"/>
      <c r="M734" s="3"/>
      <c r="N734" s="3"/>
    </row>
    <row r="735" spans="1:14" ht="45" customHeight="1" x14ac:dyDescent="0.25">
      <c r="A735" s="16" t="s">
        <v>302</v>
      </c>
      <c r="B735" s="20">
        <v>91968</v>
      </c>
      <c r="C735" s="77" t="str">
        <f>VLOOKUP(B735,IF(A735="COMPOSICAO",S!$A:$D,I!$A:$D),2,FALSE)</f>
        <v>INTERRUPTOR PARALELO (3 MÓDULOS), 10A/250V, SEM SUPORTE E SEM PLACA - FORNECIMENTO E INSTALAÇÃO. AF_12/2015</v>
      </c>
      <c r="D735" s="77"/>
      <c r="E735" s="77"/>
      <c r="F735" s="77"/>
      <c r="G735" s="16" t="str">
        <f>VLOOKUP(B735,IF(A735="COMPOSICAO",S!$A:$D,I!$A:$D),3,FALSE)</f>
        <v>UN</v>
      </c>
      <c r="H735" s="22">
        <f>1</f>
        <v>1</v>
      </c>
      <c r="I735" s="17">
        <f>IF(A735="COMPOSICAO",VLOOKUP("TOTAL - "&amp;B735,COMPOSICAO_AUX_1!$A:$J,10,FALSE),VLOOKUP(B735,I!$A:$D,4,FALSE))</f>
        <v>54.730000000000004</v>
      </c>
      <c r="J735" s="80">
        <f>TRUNC(H735*I735,2)</f>
        <v>54.73</v>
      </c>
      <c r="K735" s="81"/>
      <c r="L735" s="3"/>
      <c r="M735" s="3"/>
      <c r="N735" s="3"/>
    </row>
    <row r="736" spans="1:14" ht="15" customHeight="1" x14ac:dyDescent="0.25">
      <c r="A736" s="23" t="s">
        <v>303</v>
      </c>
      <c r="B736" s="24"/>
      <c r="C736" s="24"/>
      <c r="D736" s="24"/>
      <c r="E736" s="24"/>
      <c r="F736" s="24"/>
      <c r="G736" s="25"/>
      <c r="H736" s="26"/>
      <c r="I736" s="27"/>
      <c r="J736" s="80">
        <f>SUM(J733:K735)</f>
        <v>61.54</v>
      </c>
      <c r="K736" s="81"/>
    </row>
    <row r="737" spans="1:14" ht="15" customHeight="1" x14ac:dyDescent="0.25">
      <c r="A737" s="23" t="str">
        <f>"TAXA DE BDI ("&amp;BDI&amp;" %)"</f>
        <v>TAXA DE BDI (20,8 %)</v>
      </c>
      <c r="B737" s="24"/>
      <c r="C737" s="24"/>
      <c r="D737" s="24"/>
      <c r="E737" s="24"/>
      <c r="F737" s="24"/>
      <c r="G737" s="25"/>
      <c r="H737" s="26"/>
      <c r="I737" s="27"/>
      <c r="J737" s="80">
        <f>ROUND(J736*(BDI/100),2)</f>
        <v>12.8</v>
      </c>
      <c r="K737" s="81"/>
    </row>
    <row r="738" spans="1:14" ht="15" customHeight="1" x14ac:dyDescent="0.25">
      <c r="A738" s="23" t="s">
        <v>487</v>
      </c>
      <c r="B738" s="24"/>
      <c r="C738" s="24"/>
      <c r="D738" s="24"/>
      <c r="E738" s="24"/>
      <c r="F738" s="24"/>
      <c r="G738" s="25"/>
      <c r="H738" s="26"/>
      <c r="I738" s="27"/>
      <c r="J738" s="80">
        <f>SUM(J736:K737)</f>
        <v>74.34</v>
      </c>
      <c r="K738" s="81"/>
    </row>
    <row r="739" spans="1:14" ht="15" customHeight="1" x14ac:dyDescent="0.25">
      <c r="A739" s="3"/>
      <c r="B739" s="3"/>
      <c r="C739" s="3"/>
      <c r="D739" s="3"/>
      <c r="E739" s="3"/>
      <c r="F739" s="3"/>
      <c r="G739" s="3"/>
      <c r="H739" s="3"/>
      <c r="I739" s="3"/>
      <c r="J739" s="3"/>
      <c r="K739" s="3"/>
    </row>
    <row r="740" spans="1:14" ht="15" customHeight="1" x14ac:dyDescent="0.25">
      <c r="A740" s="10" t="s">
        <v>295</v>
      </c>
      <c r="B740" s="10" t="s">
        <v>31</v>
      </c>
      <c r="C740" s="82" t="s">
        <v>7</v>
      </c>
      <c r="D740" s="83"/>
      <c r="E740" s="83"/>
      <c r="F740" s="83"/>
      <c r="G740" s="6" t="s">
        <v>32</v>
      </c>
      <c r="H740" s="6" t="s">
        <v>296</v>
      </c>
      <c r="I740" s="6" t="s">
        <v>297</v>
      </c>
      <c r="J740" s="57" t="s">
        <v>9</v>
      </c>
      <c r="K740" s="58"/>
    </row>
    <row r="741" spans="1:14" ht="45" customHeight="1" x14ac:dyDescent="0.25">
      <c r="A741" s="6" t="s">
        <v>469</v>
      </c>
      <c r="B741" s="28">
        <v>92008</v>
      </c>
      <c r="C741" s="91" t="str">
        <f>VLOOKUP(B741,S!$A:$D,2,FALSE)</f>
        <v>TOMADA BAIXA DE EMBUTIR (2 MÓDULOS), 2P+T 10 A, INCLUINDO SUPORTE E PLACA - FORNECIMENTO E INSTALAÇÃO. AF_12/2015</v>
      </c>
      <c r="D741" s="91"/>
      <c r="E741" s="91"/>
      <c r="F741" s="92"/>
      <c r="G741" s="6" t="str">
        <f>VLOOKUP(B741,S!$A:$D,3,FALSE)</f>
        <v>UN</v>
      </c>
      <c r="H741" s="21"/>
      <c r="I741" s="21">
        <f>J744</f>
        <v>36.630000000000003</v>
      </c>
      <c r="J741" s="76"/>
      <c r="K741" s="72"/>
      <c r="L741" s="21">
        <f>VLOOKUP(B741,S!$A:$D,4,FALSE)</f>
        <v>36.630000000000003</v>
      </c>
      <c r="M741" s="6" t="str">
        <f>IF(ROUND((L741-I741),2)=0,"OK, confere com a tabela.",IF(ROUND((L741-I741),2)&lt;0,"ACIMA ("&amp;TEXT(ROUND(I741*100/L741,4),"0,0000")&amp;" %) da tabela.","ABAIXO ("&amp;TEXT(ROUND(I741*100/L741,4),"0,0000")&amp;" %) da tabela."))</f>
        <v>OK, confere com a tabela.</v>
      </c>
    </row>
    <row r="742" spans="1:14" ht="45" customHeight="1" x14ac:dyDescent="0.25">
      <c r="A742" s="16" t="s">
        <v>302</v>
      </c>
      <c r="B742" s="20">
        <v>91946</v>
      </c>
      <c r="C742" s="77" t="str">
        <f>VLOOKUP(B742,IF(A742="COMPOSICAO",S!$A:$D,I!$A:$D),2,FALSE)</f>
        <v>SUPORTE PARAFUSADO COM PLACA DE ENCAIXE 4" X 2" MÉDIO (1,30 M DO PISO) PARA PONTO ELÉTRICO - FORNECIMENTO E INSTALAÇÃO. AF_12/2015</v>
      </c>
      <c r="D742" s="77"/>
      <c r="E742" s="77"/>
      <c r="F742" s="77"/>
      <c r="G742" s="16" t="str">
        <f>VLOOKUP(B742,IF(A742="COMPOSICAO",S!$A:$D,I!$A:$D),3,FALSE)</f>
        <v>UN</v>
      </c>
      <c r="H742" s="22">
        <f>1</f>
        <v>1</v>
      </c>
      <c r="I742" s="17">
        <f>IF(A742="COMPOSICAO",VLOOKUP("TOTAL - "&amp;B742,COMPOSICAO_AUX_1!$A:$J,10,FALSE),VLOOKUP(B742,I!$A:$D,4,FALSE))</f>
        <v>6.8100000000000005</v>
      </c>
      <c r="J742" s="80">
        <f>TRUNC(H742*I742,2)</f>
        <v>6.81</v>
      </c>
      <c r="K742" s="81"/>
      <c r="L742" s="3"/>
      <c r="M742" s="3"/>
      <c r="N742" s="3"/>
    </row>
    <row r="743" spans="1:14" ht="45" customHeight="1" x14ac:dyDescent="0.25">
      <c r="A743" s="16" t="s">
        <v>302</v>
      </c>
      <c r="B743" s="20">
        <v>92006</v>
      </c>
      <c r="C743" s="77" t="str">
        <f>VLOOKUP(B743,IF(A743="COMPOSICAO",S!$A:$D,I!$A:$D),2,FALSE)</f>
        <v>TOMADA BAIXA DE EMBUTIR (2 MÓDULOS), 2P+T 10 A, SEM SUPORTE E SEM PLACA - FORNECIMENTO E INSTALAÇÃO. AF_12/2015</v>
      </c>
      <c r="D743" s="77"/>
      <c r="E743" s="77"/>
      <c r="F743" s="77"/>
      <c r="G743" s="16" t="str">
        <f>VLOOKUP(B743,IF(A743="COMPOSICAO",S!$A:$D,I!$A:$D),3,FALSE)</f>
        <v>UN</v>
      </c>
      <c r="H743" s="22">
        <f>1</f>
        <v>1</v>
      </c>
      <c r="I743" s="17">
        <f>IF(A743="COMPOSICAO",VLOOKUP("TOTAL - "&amp;B743,COMPOSICAO_AUX_1!$A:$J,10,FALSE),VLOOKUP(B743,I!$A:$D,4,FALSE))</f>
        <v>29.82</v>
      </c>
      <c r="J743" s="80">
        <f>TRUNC(H743*I743,2)</f>
        <v>29.82</v>
      </c>
      <c r="K743" s="81"/>
      <c r="L743" s="3"/>
      <c r="M743" s="3"/>
      <c r="N743" s="3"/>
    </row>
    <row r="744" spans="1:14" ht="15" customHeight="1" x14ac:dyDescent="0.25">
      <c r="A744" s="23" t="s">
        <v>303</v>
      </c>
      <c r="B744" s="24"/>
      <c r="C744" s="24"/>
      <c r="D744" s="24"/>
      <c r="E744" s="24"/>
      <c r="F744" s="24"/>
      <c r="G744" s="25"/>
      <c r="H744" s="26"/>
      <c r="I744" s="27"/>
      <c r="J744" s="80">
        <f>SUM(J741:K743)</f>
        <v>36.630000000000003</v>
      </c>
      <c r="K744" s="81"/>
    </row>
    <row r="745" spans="1:14" ht="15" customHeight="1" x14ac:dyDescent="0.25">
      <c r="A745" s="23" t="str">
        <f>"TAXA DE BDI ("&amp;BDI&amp;" %)"</f>
        <v>TAXA DE BDI (20,8 %)</v>
      </c>
      <c r="B745" s="24"/>
      <c r="C745" s="24"/>
      <c r="D745" s="24"/>
      <c r="E745" s="24"/>
      <c r="F745" s="24"/>
      <c r="G745" s="25"/>
      <c r="H745" s="26"/>
      <c r="I745" s="27"/>
      <c r="J745" s="80">
        <f>ROUND(J744*(BDI/100),2)</f>
        <v>7.62</v>
      </c>
      <c r="K745" s="81"/>
    </row>
    <row r="746" spans="1:14" ht="15" customHeight="1" x14ac:dyDescent="0.25">
      <c r="A746" s="23" t="s">
        <v>488</v>
      </c>
      <c r="B746" s="24"/>
      <c r="C746" s="24"/>
      <c r="D746" s="24"/>
      <c r="E746" s="24"/>
      <c r="F746" s="24"/>
      <c r="G746" s="25"/>
      <c r="H746" s="26"/>
      <c r="I746" s="27"/>
      <c r="J746" s="80">
        <f>SUM(J744:K745)</f>
        <v>44.25</v>
      </c>
      <c r="K746" s="81"/>
    </row>
    <row r="747" spans="1:14" ht="15" customHeight="1" x14ac:dyDescent="0.25">
      <c r="A747" s="3"/>
      <c r="B747" s="3"/>
      <c r="C747" s="3"/>
      <c r="D747" s="3"/>
      <c r="E747" s="3"/>
      <c r="F747" s="3"/>
      <c r="G747" s="3"/>
      <c r="H747" s="3"/>
      <c r="I747" s="3"/>
      <c r="J747" s="3"/>
      <c r="K747" s="3"/>
    </row>
    <row r="748" spans="1:14" ht="15" customHeight="1" x14ac:dyDescent="0.25">
      <c r="A748" s="10" t="s">
        <v>295</v>
      </c>
      <c r="B748" s="10" t="s">
        <v>31</v>
      </c>
      <c r="C748" s="82" t="s">
        <v>7</v>
      </c>
      <c r="D748" s="83"/>
      <c r="E748" s="83"/>
      <c r="F748" s="83"/>
      <c r="G748" s="6" t="s">
        <v>32</v>
      </c>
      <c r="H748" s="6" t="s">
        <v>296</v>
      </c>
      <c r="I748" s="6" t="s">
        <v>297</v>
      </c>
      <c r="J748" s="57" t="s">
        <v>9</v>
      </c>
      <c r="K748" s="58"/>
    </row>
    <row r="749" spans="1:14" ht="60" customHeight="1" x14ac:dyDescent="0.25">
      <c r="A749" s="6" t="s">
        <v>11</v>
      </c>
      <c r="B749" s="6" t="s">
        <v>489</v>
      </c>
      <c r="C749" s="91" t="str">
        <f>VLOOKUP(B749,S!$A:$D,2,FALSE)</f>
        <v>PONTO DE TOMADA 3P PARA AR CONDICIONADO ATÉ 3000 VA, COM ELETRODUTO DE PVC FLEXÍVEL SANFONADO EMBUTIDO  Ø 3/4", INCLUINDO CONJUNTO ASTOP/30A-220V, INCLUSIVE ATERRAMENTO</v>
      </c>
      <c r="D749" s="91"/>
      <c r="E749" s="91"/>
      <c r="F749" s="92"/>
      <c r="G749" s="6" t="str">
        <f>VLOOKUP(B749,S!$A:$D,3,FALSE)</f>
        <v>PT</v>
      </c>
      <c r="H749" s="21"/>
      <c r="I749" s="21">
        <f>J756</f>
        <v>235.21</v>
      </c>
      <c r="J749" s="76"/>
      <c r="K749" s="72"/>
      <c r="L749" s="21">
        <f>VLOOKUP(B749,S!$A:$D,4,FALSE)</f>
        <v>219.35</v>
      </c>
      <c r="M749" s="6" t="str">
        <f>IF(ROUND((L749-I749),2)=0,"OK, confere com a tabela.",IF(ROUND((L749-I749),2)&lt;0,"ACIMA ("&amp;TEXT(ROUND(I749*100/L749,4),"0,0000")&amp;" %) da tabela.","ABAIXO ("&amp;TEXT(ROUND(I749*100/L749,4),"0,0000")&amp;" %) da tabela."))</f>
        <v>ACIMA (107,2305 %) da tabela.</v>
      </c>
    </row>
    <row r="750" spans="1:14" ht="45" customHeight="1" x14ac:dyDescent="0.25">
      <c r="A750" s="16" t="s">
        <v>306</v>
      </c>
      <c r="B750" s="20">
        <v>944</v>
      </c>
      <c r="C750" s="77" t="str">
        <f>VLOOKUP(B750,IF(A750="COMPOSICAO",S!$A:$D,I!$A:$D),2,FALSE)</f>
        <v>FIO DE COBRE, SOLIDO, CLASSE 1, ISOLACAO EM PVC/A, ANTICHAMA BWF-B, 450/750V, SECAO NOMINAL 4 MM2</v>
      </c>
      <c r="D750" s="77"/>
      <c r="E750" s="77"/>
      <c r="F750" s="77"/>
      <c r="G750" s="16" t="str">
        <f>VLOOKUP(B750,IF(A750="COMPOSICAO",S!$A:$D,I!$A:$D),3,FALSE)</f>
        <v>M</v>
      </c>
      <c r="H750" s="22">
        <f>17</f>
        <v>17</v>
      </c>
      <c r="I750" s="17">
        <f>IF(A750="COMPOSICAO",VLOOKUP("TOTAL - "&amp;B750,COMPOSICAO_AUX_1!$A:$J,10,FALSE),VLOOKUP(B750,I!$A:$D,4,FALSE))</f>
        <v>4.05</v>
      </c>
      <c r="J750" s="80">
        <f t="shared" ref="J750:J755" si="31">TRUNC(H750*I750,2)</f>
        <v>68.849999999999994</v>
      </c>
      <c r="K750" s="81"/>
      <c r="L750" s="3"/>
      <c r="M750" s="3"/>
      <c r="N750" s="3"/>
    </row>
    <row r="751" spans="1:14" ht="15" customHeight="1" x14ac:dyDescent="0.25">
      <c r="A751" s="16" t="s">
        <v>302</v>
      </c>
      <c r="B751" s="20">
        <v>88264</v>
      </c>
      <c r="C751" s="77" t="str">
        <f>VLOOKUP(B751,IF(A751="COMPOSICAO",S!$A:$D,I!$A:$D),2,FALSE)</f>
        <v>ELETRICISTA COM ENCARGOS COMPLEMENTARES</v>
      </c>
      <c r="D751" s="77"/>
      <c r="E751" s="77"/>
      <c r="F751" s="77"/>
      <c r="G751" s="16" t="str">
        <f>VLOOKUP(B751,IF(A751="COMPOSICAO",S!$A:$D,I!$A:$D),3,FALSE)</f>
        <v>H</v>
      </c>
      <c r="H751" s="22">
        <f>4</f>
        <v>4</v>
      </c>
      <c r="I751" s="17">
        <f>IF(A751="COMPOSICAO",VLOOKUP("TOTAL - "&amp;B751,COMPOSICAO_AUX_1!$A:$J,10,FALSE),VLOOKUP(B751,I!$A:$D,4,FALSE))</f>
        <v>20.02</v>
      </c>
      <c r="J751" s="80">
        <f t="shared" si="31"/>
        <v>80.08</v>
      </c>
      <c r="K751" s="81"/>
      <c r="L751" s="3"/>
      <c r="M751" s="3"/>
      <c r="N751" s="3"/>
    </row>
    <row r="752" spans="1:14" ht="30" customHeight="1" x14ac:dyDescent="0.25">
      <c r="A752" s="16" t="s">
        <v>306</v>
      </c>
      <c r="B752" s="20">
        <v>2688</v>
      </c>
      <c r="C752" s="77" t="str">
        <f>VLOOKUP(B752,IF(A752="COMPOSICAO",S!$A:$D,I!$A:$D),2,FALSE)</f>
        <v>ELETRODUTO PVC FLEXIVEL CORRUGADO, COR AMARELA, DE 25 MM</v>
      </c>
      <c r="D752" s="77"/>
      <c r="E752" s="77"/>
      <c r="F752" s="77"/>
      <c r="G752" s="16" t="str">
        <f>VLOOKUP(B752,IF(A752="COMPOSICAO",S!$A:$D,I!$A:$D),3,FALSE)</f>
        <v>M</v>
      </c>
      <c r="H752" s="22">
        <f>9</f>
        <v>9</v>
      </c>
      <c r="I752" s="17">
        <f>IF(A752="COMPOSICAO",VLOOKUP("TOTAL - "&amp;B752,COMPOSICAO_AUX_1!$A:$J,10,FALSE),VLOOKUP(B752,I!$A:$D,4,FALSE))</f>
        <v>1.8</v>
      </c>
      <c r="J752" s="80">
        <f t="shared" si="31"/>
        <v>16.2</v>
      </c>
      <c r="K752" s="81"/>
      <c r="L752" s="3"/>
      <c r="M752" s="3"/>
      <c r="N752" s="3"/>
    </row>
    <row r="753" spans="1:14" ht="15" customHeight="1" x14ac:dyDescent="0.25">
      <c r="A753" s="16" t="s">
        <v>302</v>
      </c>
      <c r="B753" s="20">
        <v>88316</v>
      </c>
      <c r="C753" s="77" t="str">
        <f>VLOOKUP(B753,IF(A753="COMPOSICAO",S!$A:$D,I!$A:$D),2,FALSE)</f>
        <v>SERVENTE COM ENCARGOS COMPLEMENTARES</v>
      </c>
      <c r="D753" s="77"/>
      <c r="E753" s="77"/>
      <c r="F753" s="77"/>
      <c r="G753" s="16" t="str">
        <f>VLOOKUP(B753,IF(A753="COMPOSICAO",S!$A:$D,I!$A:$D),3,FALSE)</f>
        <v>H</v>
      </c>
      <c r="H753" s="22">
        <f>3</f>
        <v>3</v>
      </c>
      <c r="I753" s="17">
        <f>IF(A753="COMPOSICAO",VLOOKUP("TOTAL - "&amp;B753,COMPOSICAO_AUX_1!$A:$J,10,FALSE),VLOOKUP(B753,I!$A:$D,4,FALSE))</f>
        <v>15.35</v>
      </c>
      <c r="J753" s="80">
        <f t="shared" si="31"/>
        <v>46.05</v>
      </c>
      <c r="K753" s="81"/>
      <c r="L753" s="3"/>
      <c r="M753" s="3"/>
      <c r="N753" s="3"/>
    </row>
    <row r="754" spans="1:14" ht="45" customHeight="1" x14ac:dyDescent="0.25">
      <c r="A754" s="16" t="s">
        <v>306</v>
      </c>
      <c r="B754" s="20">
        <v>12118</v>
      </c>
      <c r="C754" s="77" t="str">
        <f>VLOOKUP(B754,IF(A754="COMPOSICAO",S!$A:$D,I!$A:$D),2,FALSE)</f>
        <v>KIT DE PROTECAO ARSTOP PARA AR CONDICIONADO, TOMADA PADRAO 2P+T 20 A, COM DISJUNTOR UNIPOLAR DIN 20A</v>
      </c>
      <c r="D754" s="77"/>
      <c r="E754" s="77"/>
      <c r="F754" s="77"/>
      <c r="G754" s="16" t="str">
        <f>VLOOKUP(B754,IF(A754="COMPOSICAO",S!$A:$D,I!$A:$D),3,FALSE)</f>
        <v>UN</v>
      </c>
      <c r="H754" s="22">
        <f>1</f>
        <v>1</v>
      </c>
      <c r="I754" s="17">
        <f>IF(A754="COMPOSICAO",VLOOKUP("TOTAL - "&amp;B754,COMPOSICAO_AUX_1!$A:$J,10,FALSE),VLOOKUP(B754,I!$A:$D,4,FALSE))</f>
        <v>22.15</v>
      </c>
      <c r="J754" s="80">
        <f t="shared" si="31"/>
        <v>22.15</v>
      </c>
      <c r="K754" s="81"/>
      <c r="L754" s="3"/>
      <c r="M754" s="3"/>
      <c r="N754" s="3"/>
    </row>
    <row r="755" spans="1:14" ht="30" customHeight="1" x14ac:dyDescent="0.25">
      <c r="A755" s="16" t="s">
        <v>306</v>
      </c>
      <c r="B755" s="20">
        <v>20111</v>
      </c>
      <c r="C755" s="77" t="str">
        <f>VLOOKUP(B755,IF(A755="COMPOSICAO",S!$A:$D,I!$A:$D),2,FALSE)</f>
        <v>FITA ISOLANTE ADESIVA ANTICHAMA, USO ATE 750 V, EM ROLO DE 19 MM X 20 M</v>
      </c>
      <c r="D755" s="77"/>
      <c r="E755" s="77"/>
      <c r="F755" s="77"/>
      <c r="G755" s="16" t="str">
        <f>VLOOKUP(B755,IF(A755="COMPOSICAO",S!$A:$D,I!$A:$D),3,FALSE)</f>
        <v>UN</v>
      </c>
      <c r="H755" s="22">
        <f>0.15</f>
        <v>0.15</v>
      </c>
      <c r="I755" s="17">
        <f>IF(A755="COMPOSICAO",VLOOKUP("TOTAL - "&amp;B755,COMPOSICAO_AUX_1!$A:$J,10,FALSE),VLOOKUP(B755,I!$A:$D,4,FALSE))</f>
        <v>12.55</v>
      </c>
      <c r="J755" s="80">
        <f t="shared" si="31"/>
        <v>1.88</v>
      </c>
      <c r="K755" s="81"/>
      <c r="L755" s="3"/>
      <c r="M755" s="3"/>
      <c r="N755" s="3"/>
    </row>
    <row r="756" spans="1:14" ht="15" customHeight="1" x14ac:dyDescent="0.25">
      <c r="A756" s="23" t="s">
        <v>303</v>
      </c>
      <c r="B756" s="24"/>
      <c r="C756" s="24"/>
      <c r="D756" s="24"/>
      <c r="E756" s="24"/>
      <c r="F756" s="24"/>
      <c r="G756" s="25"/>
      <c r="H756" s="26"/>
      <c r="I756" s="27"/>
      <c r="J756" s="80">
        <f>SUM(J749:K755)</f>
        <v>235.21</v>
      </c>
      <c r="K756" s="81"/>
    </row>
    <row r="757" spans="1:14" ht="15" customHeight="1" x14ac:dyDescent="0.25">
      <c r="A757" s="23" t="str">
        <f>"TAXA DE BDI ("&amp;BDI&amp;" %)"</f>
        <v>TAXA DE BDI (20,8 %)</v>
      </c>
      <c r="B757" s="24"/>
      <c r="C757" s="24"/>
      <c r="D757" s="24"/>
      <c r="E757" s="24"/>
      <c r="F757" s="24"/>
      <c r="G757" s="25"/>
      <c r="H757" s="26"/>
      <c r="I757" s="27"/>
      <c r="J757" s="80">
        <f>ROUND(J756*(BDI/100),2)</f>
        <v>48.92</v>
      </c>
      <c r="K757" s="81"/>
    </row>
    <row r="758" spans="1:14" ht="15" customHeight="1" x14ac:dyDescent="0.25">
      <c r="A758" s="23" t="s">
        <v>490</v>
      </c>
      <c r="B758" s="24"/>
      <c r="C758" s="24"/>
      <c r="D758" s="24"/>
      <c r="E758" s="24"/>
      <c r="F758" s="24"/>
      <c r="G758" s="25"/>
      <c r="H758" s="26"/>
      <c r="I758" s="27"/>
      <c r="J758" s="80">
        <f>SUM(J756:K757)</f>
        <v>284.13</v>
      </c>
      <c r="K758" s="81"/>
    </row>
    <row r="759" spans="1:14" ht="15" customHeight="1" x14ac:dyDescent="0.25">
      <c r="A759" s="3"/>
      <c r="B759" s="3"/>
      <c r="C759" s="3"/>
      <c r="D759" s="3"/>
      <c r="E759" s="3"/>
      <c r="F759" s="3"/>
      <c r="G759" s="3"/>
      <c r="H759" s="3"/>
      <c r="I759" s="3"/>
      <c r="J759" s="3"/>
      <c r="K759" s="3"/>
    </row>
    <row r="760" spans="1:14" ht="15" customHeight="1" x14ac:dyDescent="0.25">
      <c r="A760" s="10" t="s">
        <v>295</v>
      </c>
      <c r="B760" s="10" t="s">
        <v>31</v>
      </c>
      <c r="C760" s="82" t="s">
        <v>7</v>
      </c>
      <c r="D760" s="83"/>
      <c r="E760" s="83"/>
      <c r="F760" s="83"/>
      <c r="G760" s="6" t="s">
        <v>32</v>
      </c>
      <c r="H760" s="6" t="s">
        <v>296</v>
      </c>
      <c r="I760" s="6" t="s">
        <v>297</v>
      </c>
      <c r="J760" s="57" t="s">
        <v>9</v>
      </c>
      <c r="K760" s="58"/>
    </row>
    <row r="761" spans="1:14" ht="45" customHeight="1" x14ac:dyDescent="0.25">
      <c r="A761" s="6" t="s">
        <v>491</v>
      </c>
      <c r="B761" s="28">
        <v>97622</v>
      </c>
      <c r="C761" s="91" t="str">
        <f>VLOOKUP(B761,S!$A:$D,2,FALSE)</f>
        <v>DEMOLIÇÃO DE ALVENARIA DE BLOCO FURADO, DE FORMA MANUAL, SEM REAPROVEITAMENTO. AF_12/2017</v>
      </c>
      <c r="D761" s="91"/>
      <c r="E761" s="91"/>
      <c r="F761" s="92"/>
      <c r="G761" s="6" t="str">
        <f>VLOOKUP(B761,S!$A:$D,3,FALSE)</f>
        <v>M3</v>
      </c>
      <c r="H761" s="21"/>
      <c r="I761" s="21">
        <f>J764</f>
        <v>40.14</v>
      </c>
      <c r="J761" s="76"/>
      <c r="K761" s="72"/>
      <c r="L761" s="21">
        <f>VLOOKUP(B761,S!$A:$D,4,FALSE)</f>
        <v>40.14</v>
      </c>
      <c r="M761" s="6" t="str">
        <f>IF(ROUND((L761-I761),2)=0,"OK, confere com a tabela.",IF(ROUND((L761-I761),2)&lt;0,"ACIMA ("&amp;TEXT(ROUND(I761*100/L761,4),"0,0000")&amp;" %) da tabela.","ABAIXO ("&amp;TEXT(ROUND(I761*100/L761,4),"0,0000")&amp;" %) da tabela."))</f>
        <v>OK, confere com a tabela.</v>
      </c>
    </row>
    <row r="762" spans="1:14" ht="15" customHeight="1" x14ac:dyDescent="0.25">
      <c r="A762" s="16" t="s">
        <v>302</v>
      </c>
      <c r="B762" s="20">
        <v>88309</v>
      </c>
      <c r="C762" s="77" t="str">
        <f>VLOOKUP(B762,IF(A762="COMPOSICAO",S!$A:$D,I!$A:$D),2,FALSE)</f>
        <v>PEDREIRO COM ENCARGOS COMPLEMENTARES</v>
      </c>
      <c r="D762" s="77"/>
      <c r="E762" s="77"/>
      <c r="F762" s="77"/>
      <c r="G762" s="16" t="str">
        <f>VLOOKUP(B762,IF(A762="COMPOSICAO",S!$A:$D,I!$A:$D),3,FALSE)</f>
        <v>H</v>
      </c>
      <c r="H762" s="22">
        <f>0.225</f>
        <v>0.22500000000000001</v>
      </c>
      <c r="I762" s="17">
        <f>IF(A762="COMPOSICAO",VLOOKUP("TOTAL - "&amp;B762,COMPOSICAO_AUX_1!$A:$J,10,FALSE),VLOOKUP(B762,I!$A:$D,4,FALSE))</f>
        <v>19.849999999999994</v>
      </c>
      <c r="J762" s="80">
        <f>TRUNC(H762*I762,2)</f>
        <v>4.46</v>
      </c>
      <c r="K762" s="81"/>
      <c r="L762" s="3"/>
      <c r="M762" s="3"/>
      <c r="N762" s="3"/>
    </row>
    <row r="763" spans="1:14" ht="15" customHeight="1" x14ac:dyDescent="0.25">
      <c r="A763" s="16" t="s">
        <v>302</v>
      </c>
      <c r="B763" s="20">
        <v>88316</v>
      </c>
      <c r="C763" s="77" t="str">
        <f>VLOOKUP(B763,IF(A763="COMPOSICAO",S!$A:$D,I!$A:$D),2,FALSE)</f>
        <v>SERVENTE COM ENCARGOS COMPLEMENTARES</v>
      </c>
      <c r="D763" s="77"/>
      <c r="E763" s="77"/>
      <c r="F763" s="77"/>
      <c r="G763" s="16" t="str">
        <f>VLOOKUP(B763,IF(A763="COMPOSICAO",S!$A:$D,I!$A:$D),3,FALSE)</f>
        <v>H</v>
      </c>
      <c r="H763" s="22">
        <f>2.3248</f>
        <v>2.3248000000000002</v>
      </c>
      <c r="I763" s="17">
        <f>IF(A763="COMPOSICAO",VLOOKUP("TOTAL - "&amp;B763,COMPOSICAO_AUX_1!$A:$J,10,FALSE),VLOOKUP(B763,I!$A:$D,4,FALSE))</f>
        <v>15.35</v>
      </c>
      <c r="J763" s="80">
        <f>TRUNC(H763*I763,2)</f>
        <v>35.68</v>
      </c>
      <c r="K763" s="81"/>
      <c r="L763" s="3"/>
      <c r="M763" s="3"/>
      <c r="N763" s="3"/>
    </row>
    <row r="764" spans="1:14" ht="15" customHeight="1" x14ac:dyDescent="0.25">
      <c r="A764" s="23" t="s">
        <v>303</v>
      </c>
      <c r="B764" s="24"/>
      <c r="C764" s="24"/>
      <c r="D764" s="24"/>
      <c r="E764" s="24"/>
      <c r="F764" s="24"/>
      <c r="G764" s="25"/>
      <c r="H764" s="26"/>
      <c r="I764" s="27"/>
      <c r="J764" s="80">
        <f>SUM(J761:K763)</f>
        <v>40.14</v>
      </c>
      <c r="K764" s="81"/>
    </row>
    <row r="765" spans="1:14" ht="15" customHeight="1" x14ac:dyDescent="0.25">
      <c r="A765" s="23" t="str">
        <f>"TAXA DE BDI ("&amp;BDI&amp;" %)"</f>
        <v>TAXA DE BDI (20,8 %)</v>
      </c>
      <c r="B765" s="24"/>
      <c r="C765" s="24"/>
      <c r="D765" s="24"/>
      <c r="E765" s="24"/>
      <c r="F765" s="24"/>
      <c r="G765" s="25"/>
      <c r="H765" s="26"/>
      <c r="I765" s="27"/>
      <c r="J765" s="80">
        <f>ROUND(J764*(BDI/100),2)</f>
        <v>8.35</v>
      </c>
      <c r="K765" s="81"/>
    </row>
    <row r="766" spans="1:14" ht="15" customHeight="1" x14ac:dyDescent="0.25">
      <c r="A766" s="23" t="s">
        <v>492</v>
      </c>
      <c r="B766" s="24"/>
      <c r="C766" s="24"/>
      <c r="D766" s="24"/>
      <c r="E766" s="24"/>
      <c r="F766" s="24"/>
      <c r="G766" s="25"/>
      <c r="H766" s="26"/>
      <c r="I766" s="27"/>
      <c r="J766" s="80">
        <f>SUM(J764:K765)</f>
        <v>48.49</v>
      </c>
      <c r="K766" s="81"/>
    </row>
    <row r="767" spans="1:14" ht="15" customHeight="1" x14ac:dyDescent="0.25">
      <c r="A767" s="3"/>
      <c r="B767" s="3"/>
      <c r="C767" s="3"/>
      <c r="D767" s="3"/>
      <c r="E767" s="3"/>
      <c r="F767" s="3"/>
      <c r="G767" s="3"/>
      <c r="H767" s="3"/>
      <c r="I767" s="3"/>
      <c r="J767" s="3"/>
      <c r="K767" s="3"/>
    </row>
    <row r="768" spans="1:14" ht="15" customHeight="1" x14ac:dyDescent="0.25">
      <c r="A768" s="10" t="s">
        <v>295</v>
      </c>
      <c r="B768" s="10" t="s">
        <v>31</v>
      </c>
      <c r="C768" s="82" t="s">
        <v>7</v>
      </c>
      <c r="D768" s="83"/>
      <c r="E768" s="83"/>
      <c r="F768" s="83"/>
      <c r="G768" s="6" t="s">
        <v>32</v>
      </c>
      <c r="H768" s="6" t="s">
        <v>296</v>
      </c>
      <c r="I768" s="6" t="s">
        <v>297</v>
      </c>
      <c r="J768" s="57" t="s">
        <v>9</v>
      </c>
      <c r="K768" s="58"/>
    </row>
    <row r="769" spans="1:14" ht="90" customHeight="1" x14ac:dyDescent="0.25">
      <c r="A769" s="6" t="s">
        <v>372</v>
      </c>
      <c r="B769" s="28">
        <v>89048</v>
      </c>
      <c r="C769" s="91" t="str">
        <f>VLOOKUP(B769,S!$A:$D,2,FALSE)</f>
        <v>(COMPOSIÇÃO REPRESENTATIVA) DO SERVIÇO DE EMBOÇO/MASSA ÚNICA, TRAÇO 1:2:8, PREPARO MECÂNICO, COM BETONEIRA DE 400L, EM PAREDES DE AMBIENTES INTERNOS, COM EXECUÇÃO DE TALISCAS, PARA EDIFICAÇÃO HABITACIONAL MULTIFAMILIAR (PRÉDIO). AF_11/2014</v>
      </c>
      <c r="D769" s="91"/>
      <c r="E769" s="91"/>
      <c r="F769" s="92"/>
      <c r="G769" s="6" t="str">
        <f>VLOOKUP(B769,S!$A:$D,3,FALSE)</f>
        <v>M2</v>
      </c>
      <c r="H769" s="21"/>
      <c r="I769" s="21">
        <f>J773</f>
        <v>30.18</v>
      </c>
      <c r="J769" s="76"/>
      <c r="K769" s="72"/>
      <c r="L769" s="21">
        <f>VLOOKUP(B769,S!$A:$D,4,FALSE)</f>
        <v>30.18</v>
      </c>
      <c r="M769" s="6" t="str">
        <f>IF(ROUND((L769-I769),2)=0,"OK, confere com a tabela.",IF(ROUND((L769-I769),2)&lt;0,"ACIMA ("&amp;TEXT(ROUND(I769*100/L769,4),"0,0000")&amp;" %) da tabela.","ABAIXO ("&amp;TEXT(ROUND(I769*100/L769,4),"0,0000")&amp;" %) da tabela."))</f>
        <v>OK, confere com a tabela.</v>
      </c>
    </row>
    <row r="770" spans="1:14" ht="90" customHeight="1" x14ac:dyDescent="0.25">
      <c r="A770" s="16" t="s">
        <v>302</v>
      </c>
      <c r="B770" s="20">
        <v>87527</v>
      </c>
      <c r="C770" s="77" t="str">
        <f>VLOOKUP(B770,IF(A770="COMPOSICAO",S!$A:$D,I!$A:$D),2,FALSE)</f>
        <v>EMBOÇO, PARA RECEBIMENTO DE CERÂMICA, EM ARGAMASSA TRAÇO 1:2:8, PREPARO MECÂNICO COM BETONEIRA 400L, APLICADO MANUALMENTE EM FACES INTERNAS DE PAREDES, PARA AMBIENTE COM ÁREA MENOR QUE 5M2, ESPESSURA DE 20MM, COM EXECUÇÃO DE TALISCAS. AF_06/2014</v>
      </c>
      <c r="D770" s="77"/>
      <c r="E770" s="77"/>
      <c r="F770" s="77"/>
      <c r="G770" s="16" t="str">
        <f>VLOOKUP(B770,IF(A770="COMPOSICAO",S!$A:$D,I!$A:$D),3,FALSE)</f>
        <v>M2</v>
      </c>
      <c r="H770" s="22">
        <f>0.2298</f>
        <v>0.2298</v>
      </c>
      <c r="I770" s="17">
        <f>IF(A770="COMPOSICAO",VLOOKUP("TOTAL - "&amp;B770,COMPOSICAO_AUX_1!$A:$J,10,FALSE),VLOOKUP(B770,I!$A:$D,4,FALSE))</f>
        <v>32.389999999999993</v>
      </c>
      <c r="J770" s="80">
        <f>TRUNC(H770*I770,2)</f>
        <v>7.44</v>
      </c>
      <c r="K770" s="81"/>
      <c r="L770" s="3"/>
      <c r="M770" s="3"/>
      <c r="N770" s="3"/>
    </row>
    <row r="771" spans="1:14" ht="75" customHeight="1" x14ac:dyDescent="0.25">
      <c r="A771" s="16" t="s">
        <v>302</v>
      </c>
      <c r="B771" s="20">
        <v>87529</v>
      </c>
      <c r="C771" s="77" t="str">
        <f>VLOOKUP(B771,IF(A771="COMPOSICAO",S!$A:$D,I!$A:$D),2,FALSE)</f>
        <v>MASSA ÚNICA, PARA RECEBIMENTO DE PINTURA, EM ARGAMASSA TRAÇO 1:2:8, PREPARO MECÂNICO COM BETONEIRA 400L, APLICADA MANUALMENTE EM FACES INTERNAS DE PAREDES, ESPESSURA DE 20MM, COM EXECUÇÃO DE TALISCAS. AF_06/2014</v>
      </c>
      <c r="D771" s="77"/>
      <c r="E771" s="77"/>
      <c r="F771" s="77"/>
      <c r="G771" s="16" t="str">
        <f>VLOOKUP(B771,IF(A771="COMPOSICAO",S!$A:$D,I!$A:$D),3,FALSE)</f>
        <v>M2</v>
      </c>
      <c r="H771" s="22">
        <f>0.7349</f>
        <v>0.7349</v>
      </c>
      <c r="I771" s="17">
        <f>IF(A771="COMPOSICAO",VLOOKUP("TOTAL - "&amp;B771,COMPOSICAO_AUX_1!$A:$J,10,FALSE),VLOOKUP(B771,I!$A:$D,4,FALSE))</f>
        <v>29.59</v>
      </c>
      <c r="J771" s="80">
        <f>TRUNC(H771*I771,2)</f>
        <v>21.74</v>
      </c>
      <c r="K771" s="81"/>
      <c r="L771" s="3"/>
      <c r="M771" s="3"/>
      <c r="N771" s="3"/>
    </row>
    <row r="772" spans="1:14" ht="90" customHeight="1" x14ac:dyDescent="0.25">
      <c r="A772" s="16" t="s">
        <v>302</v>
      </c>
      <c r="B772" s="20">
        <v>87531</v>
      </c>
      <c r="C772" s="77" t="str">
        <f>VLOOKUP(B772,IF(A772="COMPOSICAO",S!$A:$D,I!$A:$D),2,FALSE)</f>
        <v>EMBOÇO, PARA RECEBIMENTO DE CERÂMICA, EM ARGAMASSA TRAÇO 1:2:8, PREPARO MECÂNICO COM BETONEIRA 400L, APLICADO MANUALMENTE EM FACES INTERNAS DE PAREDES, PARA AMBIENTE COM ÁREA ENTRE 5M2 E 10M2, ESPESSURA DE 20MM, COM EXECUÇÃO DE TALISCAS. AF_06/2014</v>
      </c>
      <c r="D772" s="77"/>
      <c r="E772" s="77"/>
      <c r="F772" s="77"/>
      <c r="G772" s="16" t="str">
        <f>VLOOKUP(B772,IF(A772="COMPOSICAO",S!$A:$D,I!$A:$D),3,FALSE)</f>
        <v>M2</v>
      </c>
      <c r="H772" s="22">
        <f>0.0353</f>
        <v>3.5299999999999998E-2</v>
      </c>
      <c r="I772" s="17">
        <f>IF(A772="COMPOSICAO",VLOOKUP("TOTAL - "&amp;B772,COMPOSICAO_AUX_1!$A:$J,10,FALSE),VLOOKUP(B772,I!$A:$D,4,FALSE))</f>
        <v>28.6</v>
      </c>
      <c r="J772" s="80">
        <f>TRUNC(H772*I772,2)</f>
        <v>1</v>
      </c>
      <c r="K772" s="81"/>
      <c r="L772" s="3"/>
      <c r="M772" s="3"/>
      <c r="N772" s="3"/>
    </row>
    <row r="773" spans="1:14" ht="15" customHeight="1" x14ac:dyDescent="0.25">
      <c r="A773" s="23" t="s">
        <v>303</v>
      </c>
      <c r="B773" s="24"/>
      <c r="C773" s="24"/>
      <c r="D773" s="24"/>
      <c r="E773" s="24"/>
      <c r="F773" s="24"/>
      <c r="G773" s="25"/>
      <c r="H773" s="26"/>
      <c r="I773" s="27"/>
      <c r="J773" s="80">
        <f>SUM(J769:K772)</f>
        <v>30.18</v>
      </c>
      <c r="K773" s="81"/>
    </row>
    <row r="774" spans="1:14" ht="15" customHeight="1" x14ac:dyDescent="0.25">
      <c r="A774" s="23" t="str">
        <f>"TAXA DE BDI ("&amp;BDI&amp;" %)"</f>
        <v>TAXA DE BDI (20,8 %)</v>
      </c>
      <c r="B774" s="24"/>
      <c r="C774" s="24"/>
      <c r="D774" s="24"/>
      <c r="E774" s="24"/>
      <c r="F774" s="24"/>
      <c r="G774" s="25"/>
      <c r="H774" s="26"/>
      <c r="I774" s="27"/>
      <c r="J774" s="80">
        <f>ROUND(J773*(BDI/100),2)</f>
        <v>6.28</v>
      </c>
      <c r="K774" s="81"/>
    </row>
    <row r="775" spans="1:14" ht="15" customHeight="1" x14ac:dyDescent="0.25">
      <c r="A775" s="23" t="s">
        <v>493</v>
      </c>
      <c r="B775" s="24"/>
      <c r="C775" s="24"/>
      <c r="D775" s="24"/>
      <c r="E775" s="24"/>
      <c r="F775" s="24"/>
      <c r="G775" s="25"/>
      <c r="H775" s="26"/>
      <c r="I775" s="27"/>
      <c r="J775" s="80">
        <f>SUM(J773:K774)</f>
        <v>36.46</v>
      </c>
      <c r="K775" s="81"/>
    </row>
    <row r="776" spans="1:14" ht="15" customHeight="1" x14ac:dyDescent="0.25">
      <c r="A776" s="3"/>
      <c r="B776" s="3"/>
      <c r="C776" s="3"/>
      <c r="D776" s="3"/>
      <c r="E776" s="3"/>
      <c r="F776" s="3"/>
      <c r="G776" s="3"/>
      <c r="H776" s="3"/>
      <c r="I776" s="3"/>
      <c r="J776" s="3"/>
      <c r="K776" s="3"/>
    </row>
    <row r="777" spans="1:14" ht="15" customHeight="1" x14ac:dyDescent="0.25">
      <c r="A777" s="10" t="s">
        <v>295</v>
      </c>
      <c r="B777" s="10" t="s">
        <v>31</v>
      </c>
      <c r="C777" s="82" t="s">
        <v>7</v>
      </c>
      <c r="D777" s="83"/>
      <c r="E777" s="83"/>
      <c r="F777" s="83"/>
      <c r="G777" s="6" t="s">
        <v>32</v>
      </c>
      <c r="H777" s="6" t="s">
        <v>296</v>
      </c>
      <c r="I777" s="6" t="s">
        <v>297</v>
      </c>
      <c r="J777" s="57" t="s">
        <v>9</v>
      </c>
      <c r="K777" s="58"/>
    </row>
    <row r="778" spans="1:14" ht="30" customHeight="1" x14ac:dyDescent="0.25">
      <c r="A778" s="6" t="s">
        <v>11</v>
      </c>
      <c r="B778" s="6" t="s">
        <v>494</v>
      </c>
      <c r="C778" s="91" t="str">
        <f>VLOOKUP(B778,S!$A:$D,2,FALSE)</f>
        <v>RETIRADA DE ENTULHO DA OBRA UTILIZANDO CAIXA COLETORA CAPACIDADE 5 M3 (LOCAL: ARACAJU)</v>
      </c>
      <c r="D778" s="91"/>
      <c r="E778" s="91"/>
      <c r="F778" s="92"/>
      <c r="G778" s="6" t="str">
        <f>VLOOKUP(B778,S!$A:$D,3,FALSE)</f>
        <v>M3</v>
      </c>
      <c r="H778" s="21"/>
      <c r="I778" s="21">
        <f>J780</f>
        <v>50</v>
      </c>
      <c r="J778" s="76"/>
      <c r="K778" s="72"/>
      <c r="L778" s="21">
        <f>VLOOKUP(B778,S!$A:$D,4,FALSE)</f>
        <v>50</v>
      </c>
      <c r="M778" s="6" t="str">
        <f>IF(ROUND((L778-I778),2)=0,"OK, confere com a tabela.",IF(ROUND((L778-I778),2)&lt;0,"ACIMA ("&amp;TEXT(ROUND(I778*100/L778,4),"0,0000")&amp;" %) da tabela.","ABAIXO ("&amp;TEXT(ROUND(I778*100/L778,4),"0,0000")&amp;" %) da tabela."))</f>
        <v>OK, confere com a tabela.</v>
      </c>
    </row>
    <row r="779" spans="1:14" ht="30" customHeight="1" x14ac:dyDescent="0.25">
      <c r="A779" s="16" t="s">
        <v>306</v>
      </c>
      <c r="B779" s="16" t="s">
        <v>495</v>
      </c>
      <c r="C779" s="77" t="str">
        <f>VLOOKUP(B779,IF(A779="COMPOSICAO",S!$A:$D,I!$A:$D),2,FALSE)</f>
        <v>LOCAÇÃO DE CAIXA COLETORA DE ENTULHO CAPACIDADE 5 M³ (LOCAL: ARACAJU)</v>
      </c>
      <c r="D779" s="77"/>
      <c r="E779" s="77"/>
      <c r="F779" s="77"/>
      <c r="G779" s="16" t="str">
        <f>VLOOKUP(B779,IF(A779="COMPOSICAO",S!$A:$D,I!$A:$D),3,FALSE)</f>
        <v>UN</v>
      </c>
      <c r="H779" s="22">
        <f>0.2</f>
        <v>0.2</v>
      </c>
      <c r="I779" s="17">
        <f>IF(A779="COMPOSICAO",VLOOKUP("TOTAL - "&amp;B779,COMPOSICAO_AUX_1!$A:$J,10,FALSE),VLOOKUP(B779,I!$A:$D,4,FALSE))</f>
        <v>250</v>
      </c>
      <c r="J779" s="80">
        <f>TRUNC(H779*I779,2)</f>
        <v>50</v>
      </c>
      <c r="K779" s="81"/>
      <c r="L779" s="3"/>
      <c r="M779" s="3"/>
      <c r="N779" s="3"/>
    </row>
    <row r="780" spans="1:14" ht="15" customHeight="1" x14ac:dyDescent="0.25">
      <c r="A780" s="23" t="s">
        <v>303</v>
      </c>
      <c r="B780" s="24"/>
      <c r="C780" s="24"/>
      <c r="D780" s="24"/>
      <c r="E780" s="24"/>
      <c r="F780" s="24"/>
      <c r="G780" s="25"/>
      <c r="H780" s="26"/>
      <c r="I780" s="27"/>
      <c r="J780" s="80">
        <f>SUM(J778:K779)</f>
        <v>50</v>
      </c>
      <c r="K780" s="81"/>
    </row>
    <row r="781" spans="1:14" ht="15" customHeight="1" x14ac:dyDescent="0.25">
      <c r="A781" s="23" t="str">
        <f>"TAXA DE BDI ("&amp;BDI&amp;" %)"</f>
        <v>TAXA DE BDI (20,8 %)</v>
      </c>
      <c r="B781" s="24"/>
      <c r="C781" s="24"/>
      <c r="D781" s="24"/>
      <c r="E781" s="24"/>
      <c r="F781" s="24"/>
      <c r="G781" s="25"/>
      <c r="H781" s="26"/>
      <c r="I781" s="27"/>
      <c r="J781" s="80">
        <f>ROUND(J780*(BDI/100),2)</f>
        <v>10.4</v>
      </c>
      <c r="K781" s="81"/>
    </row>
    <row r="782" spans="1:14" ht="15" customHeight="1" x14ac:dyDescent="0.25">
      <c r="A782" s="23" t="s">
        <v>496</v>
      </c>
      <c r="B782" s="24"/>
      <c r="C782" s="24"/>
      <c r="D782" s="24"/>
      <c r="E782" s="24"/>
      <c r="F782" s="24"/>
      <c r="G782" s="25"/>
      <c r="H782" s="26"/>
      <c r="I782" s="27"/>
      <c r="J782" s="80">
        <f>SUM(J780:K781)</f>
        <v>60.4</v>
      </c>
      <c r="K782" s="81"/>
    </row>
    <row r="783" spans="1:14" ht="15" customHeight="1" x14ac:dyDescent="0.25">
      <c r="A783" s="3"/>
      <c r="B783" s="3"/>
      <c r="C783" s="3"/>
      <c r="D783" s="3"/>
      <c r="E783" s="3"/>
      <c r="F783" s="3"/>
      <c r="G783" s="3"/>
      <c r="H783" s="3"/>
      <c r="I783" s="3"/>
      <c r="J783" s="3"/>
      <c r="K783" s="3"/>
    </row>
    <row r="784" spans="1:14" ht="15" customHeight="1" x14ac:dyDescent="0.25">
      <c r="A784" s="10" t="s">
        <v>295</v>
      </c>
      <c r="B784" s="10" t="s">
        <v>31</v>
      </c>
      <c r="C784" s="82" t="s">
        <v>7</v>
      </c>
      <c r="D784" s="83"/>
      <c r="E784" s="83"/>
      <c r="F784" s="83"/>
      <c r="G784" s="6" t="s">
        <v>32</v>
      </c>
      <c r="H784" s="6" t="s">
        <v>296</v>
      </c>
      <c r="I784" s="6" t="s">
        <v>297</v>
      </c>
      <c r="J784" s="57" t="s">
        <v>9</v>
      </c>
      <c r="K784" s="58"/>
    </row>
    <row r="785" spans="1:14" ht="15" customHeight="1" x14ac:dyDescent="0.25">
      <c r="A785" s="6" t="s">
        <v>11</v>
      </c>
      <c r="B785" s="6" t="s">
        <v>497</v>
      </c>
      <c r="C785" s="91" t="str">
        <f>VLOOKUP(B785,S!$A:$D,2,FALSE)</f>
        <v>LIMPEZA GERAL</v>
      </c>
      <c r="D785" s="91"/>
      <c r="E785" s="91"/>
      <c r="F785" s="92"/>
      <c r="G785" s="6" t="str">
        <f>VLOOKUP(B785,S!$A:$D,3,FALSE)</f>
        <v>M2</v>
      </c>
      <c r="H785" s="21"/>
      <c r="I785" s="21">
        <f>J790</f>
        <v>1.9100000000000001</v>
      </c>
      <c r="J785" s="76"/>
      <c r="K785" s="72"/>
      <c r="L785" s="21">
        <f>VLOOKUP(B785,S!$A:$D,4,FALSE)</f>
        <v>1.92</v>
      </c>
      <c r="M785" s="6" t="str">
        <f>IF(ROUND((L785-I785),2)=0,"OK, confere com a tabela.",IF(ROUND((L785-I785),2)&lt;0,"ACIMA ("&amp;TEXT(ROUND(I785*100/L785,4),"0,0000")&amp;" %) da tabela.","ABAIXO ("&amp;TEXT(ROUND(I785*100/L785,4),"0,0000")&amp;" %) da tabela."))</f>
        <v>ABAIXO (99,4792 %) da tabela.</v>
      </c>
    </row>
    <row r="786" spans="1:14" ht="15" customHeight="1" x14ac:dyDescent="0.25">
      <c r="A786" s="16" t="s">
        <v>306</v>
      </c>
      <c r="B786" s="16" t="s">
        <v>498</v>
      </c>
      <c r="C786" s="77" t="str">
        <f>VLOOKUP(B786,IF(A786="COMPOSICAO",S!$A:$D,I!$A:$D),2,FALSE)</f>
        <v>SABÃO EM PÓ</v>
      </c>
      <c r="D786" s="77"/>
      <c r="E786" s="77"/>
      <c r="F786" s="77"/>
      <c r="G786" s="16" t="str">
        <f>VLOOKUP(B786,IF(A786="COMPOSICAO",S!$A:$D,I!$A:$D),3,FALSE)</f>
        <v>KG</v>
      </c>
      <c r="H786" s="22">
        <f>0.005</f>
        <v>5.0000000000000001E-3</v>
      </c>
      <c r="I786" s="17">
        <f>IF(A786="COMPOSICAO",VLOOKUP("TOTAL - "&amp;B786,COMPOSICAO_AUX_1!$A:$J,10,FALSE),VLOOKUP(B786,I!$A:$D,4,FALSE))</f>
        <v>8.58</v>
      </c>
      <c r="J786" s="80">
        <f>TRUNC(H786*I786,2)</f>
        <v>0.04</v>
      </c>
      <c r="K786" s="81"/>
      <c r="L786" s="3"/>
      <c r="M786" s="3"/>
      <c r="N786" s="3"/>
    </row>
    <row r="787" spans="1:14" ht="15" customHeight="1" x14ac:dyDescent="0.25">
      <c r="A787" s="16" t="s">
        <v>306</v>
      </c>
      <c r="B787" s="16" t="s">
        <v>499</v>
      </c>
      <c r="C787" s="77" t="str">
        <f>VLOOKUP(B787,IF(A787="COMPOSICAO",S!$A:$D,I!$A:$D),2,FALSE)</f>
        <v>VASSOURA PIAÇAVA</v>
      </c>
      <c r="D787" s="77"/>
      <c r="E787" s="77"/>
      <c r="F787" s="77"/>
      <c r="G787" s="16" t="str">
        <f>VLOOKUP(B787,IF(A787="COMPOSICAO",S!$A:$D,I!$A:$D),3,FALSE)</f>
        <v>UN</v>
      </c>
      <c r="H787" s="22">
        <f>0.05</f>
        <v>0.05</v>
      </c>
      <c r="I787" s="17">
        <f>IF(A787="COMPOSICAO",VLOOKUP("TOTAL - "&amp;B787,COMPOSICAO_AUX_1!$A:$J,10,FALSE),VLOOKUP(B787,I!$A:$D,4,FALSE))</f>
        <v>10.5</v>
      </c>
      <c r="J787" s="80">
        <f>TRUNC(H787*I787,2)</f>
        <v>0.52</v>
      </c>
      <c r="K787" s="81"/>
      <c r="L787" s="3"/>
      <c r="M787" s="3"/>
      <c r="N787" s="3"/>
    </row>
    <row r="788" spans="1:14" ht="15" customHeight="1" x14ac:dyDescent="0.25">
      <c r="A788" s="16" t="s">
        <v>306</v>
      </c>
      <c r="B788" s="20">
        <v>6111</v>
      </c>
      <c r="C788" s="77" t="str">
        <f>VLOOKUP(B788,IF(A788="COMPOSICAO",S!$A:$D,I!$A:$D),2,FALSE)</f>
        <v>SERVENTE DE OBRAS</v>
      </c>
      <c r="D788" s="77"/>
      <c r="E788" s="77"/>
      <c r="F788" s="77"/>
      <c r="G788" s="16" t="str">
        <f>VLOOKUP(B788,IF(A788="COMPOSICAO",S!$A:$D,I!$A:$D),3,FALSE)</f>
        <v>H</v>
      </c>
      <c r="H788" s="22">
        <f>0.1</f>
        <v>0.1</v>
      </c>
      <c r="I788" s="17">
        <f>IF(A788="COMPOSICAO",VLOOKUP("TOTAL - "&amp;B788,COMPOSICAO_AUX_1!$A:$J,10,FALSE),VLOOKUP(B788,I!$A:$D,4,FALSE))</f>
        <v>10.6</v>
      </c>
      <c r="J788" s="80">
        <f>TRUNC(H788*I788,2)</f>
        <v>1.06</v>
      </c>
      <c r="K788" s="81"/>
      <c r="L788" s="3"/>
      <c r="M788" s="3"/>
      <c r="N788" s="3"/>
    </row>
    <row r="789" spans="1:14" ht="15" customHeight="1" x14ac:dyDescent="0.25">
      <c r="A789" s="16" t="s">
        <v>302</v>
      </c>
      <c r="B789" s="16" t="s">
        <v>319</v>
      </c>
      <c r="C789" s="77" t="str">
        <f>VLOOKUP(B789,IF(A789="COMPOSICAO",S!$A:$D,I!$A:$D),2,FALSE)</f>
        <v>ENCARGOS COMPLEMENTARES - SERVENTE</v>
      </c>
      <c r="D789" s="77"/>
      <c r="E789" s="77"/>
      <c r="F789" s="77"/>
      <c r="G789" s="16" t="str">
        <f>VLOOKUP(B789,IF(A789="COMPOSICAO",S!$A:$D,I!$A:$D),3,FALSE)</f>
        <v>H</v>
      </c>
      <c r="H789" s="22">
        <f>0.1</f>
        <v>0.1</v>
      </c>
      <c r="I789" s="17">
        <f>IF(A789="COMPOSICAO",VLOOKUP("TOTAL - "&amp;B789,COMPOSICAO_AUX_1!$A:$J,10,FALSE),VLOOKUP(B789,I!$A:$D,4,FALSE))</f>
        <v>2.9100000000000006</v>
      </c>
      <c r="J789" s="80">
        <f>TRUNC(H789*I789,2)</f>
        <v>0.28999999999999998</v>
      </c>
      <c r="K789" s="81"/>
      <c r="L789" s="3"/>
      <c r="M789" s="3"/>
      <c r="N789" s="3"/>
    </row>
    <row r="790" spans="1:14" ht="15" customHeight="1" x14ac:dyDescent="0.25">
      <c r="A790" s="23" t="s">
        <v>303</v>
      </c>
      <c r="B790" s="24"/>
      <c r="C790" s="24"/>
      <c r="D790" s="24"/>
      <c r="E790" s="24"/>
      <c r="F790" s="24"/>
      <c r="G790" s="25"/>
      <c r="H790" s="26"/>
      <c r="I790" s="27"/>
      <c r="J790" s="80">
        <f>SUM(J785:K789)</f>
        <v>1.9100000000000001</v>
      </c>
      <c r="K790" s="81"/>
    </row>
    <row r="791" spans="1:14" ht="15" customHeight="1" x14ac:dyDescent="0.25">
      <c r="A791" s="23" t="str">
        <f>"TAXA DE BDI ("&amp;BDI&amp;" %)"</f>
        <v>TAXA DE BDI (20,8 %)</v>
      </c>
      <c r="B791" s="24"/>
      <c r="C791" s="24"/>
      <c r="D791" s="24"/>
      <c r="E791" s="24"/>
      <c r="F791" s="24"/>
      <c r="G791" s="25"/>
      <c r="H791" s="26"/>
      <c r="I791" s="27"/>
      <c r="J791" s="80">
        <f>ROUND(J790*(BDI/100),2)</f>
        <v>0.4</v>
      </c>
      <c r="K791" s="81"/>
    </row>
    <row r="792" spans="1:14" ht="15" customHeight="1" x14ac:dyDescent="0.25">
      <c r="A792" s="23" t="s">
        <v>500</v>
      </c>
      <c r="B792" s="24"/>
      <c r="C792" s="24"/>
      <c r="D792" s="24"/>
      <c r="E792" s="24"/>
      <c r="F792" s="24"/>
      <c r="G792" s="25"/>
      <c r="H792" s="26"/>
      <c r="I792" s="27"/>
      <c r="J792" s="80">
        <f>SUM(J790:K791)</f>
        <v>2.31</v>
      </c>
      <c r="K792" s="81"/>
    </row>
    <row r="793" spans="1:14" ht="15" customHeight="1" x14ac:dyDescent="0.25">
      <c r="A793" s="3"/>
      <c r="B793" s="3"/>
      <c r="C793" s="3"/>
      <c r="D793" s="3"/>
      <c r="E793" s="3"/>
      <c r="F793" s="3"/>
      <c r="G793" s="3"/>
      <c r="H793" s="3"/>
      <c r="I793" s="3"/>
      <c r="J793" s="3"/>
      <c r="K793" s="3"/>
    </row>
  </sheetData>
  <sheetProtection formatCells="0" formatColumns="0" formatRows="0" insertColumns="0" insertRows="0" insertHyperlinks="0" deleteColumns="0" deleteRows="0" sort="0" autoFilter="0" pivotTables="0"/>
  <mergeCells count="1249">
    <mergeCell ref="A1:K1"/>
    <mergeCell ref="A2:K2"/>
    <mergeCell ref="A3:K3"/>
    <mergeCell ref="C6:F6"/>
    <mergeCell ref="J6:K6"/>
    <mergeCell ref="C7:F7"/>
    <mergeCell ref="J7:K7"/>
    <mergeCell ref="C17:F17"/>
    <mergeCell ref="J17:K17"/>
    <mergeCell ref="C18:F18"/>
    <mergeCell ref="J18:K18"/>
    <mergeCell ref="C19:F19"/>
    <mergeCell ref="J19:K19"/>
    <mergeCell ref="J11:K11"/>
    <mergeCell ref="J12:K12"/>
    <mergeCell ref="J13:K13"/>
    <mergeCell ref="C15:F15"/>
    <mergeCell ref="J15:K15"/>
    <mergeCell ref="C16:F16"/>
    <mergeCell ref="J16:K16"/>
    <mergeCell ref="C8:F8"/>
    <mergeCell ref="J8:K8"/>
    <mergeCell ref="C9:F9"/>
    <mergeCell ref="J9:K9"/>
    <mergeCell ref="C10:F10"/>
    <mergeCell ref="J10:K10"/>
    <mergeCell ref="C29:F29"/>
    <mergeCell ref="J29:K29"/>
    <mergeCell ref="C30:F30"/>
    <mergeCell ref="J30:K30"/>
    <mergeCell ref="C31:F31"/>
    <mergeCell ref="J31:K31"/>
    <mergeCell ref="C23:F23"/>
    <mergeCell ref="J23:K23"/>
    <mergeCell ref="J24:K24"/>
    <mergeCell ref="J25:K25"/>
    <mergeCell ref="J26:K26"/>
    <mergeCell ref="C28:F28"/>
    <mergeCell ref="J28:K28"/>
    <mergeCell ref="C20:F20"/>
    <mergeCell ref="J20:K20"/>
    <mergeCell ref="C21:F21"/>
    <mergeCell ref="J21:K21"/>
    <mergeCell ref="C22:F22"/>
    <mergeCell ref="J22:K22"/>
    <mergeCell ref="C38:F38"/>
    <mergeCell ref="J38:K38"/>
    <mergeCell ref="C39:F39"/>
    <mergeCell ref="J39:K39"/>
    <mergeCell ref="C40:F40"/>
    <mergeCell ref="J40:K40"/>
    <mergeCell ref="C35:F35"/>
    <mergeCell ref="J35:K35"/>
    <mergeCell ref="C36:F36"/>
    <mergeCell ref="J36:K36"/>
    <mergeCell ref="C37:F37"/>
    <mergeCell ref="J37:K37"/>
    <mergeCell ref="C32:F32"/>
    <mergeCell ref="J32:K32"/>
    <mergeCell ref="C33:F33"/>
    <mergeCell ref="J33:K33"/>
    <mergeCell ref="C34:F34"/>
    <mergeCell ref="J34:K34"/>
    <mergeCell ref="J48:K48"/>
    <mergeCell ref="J49:K49"/>
    <mergeCell ref="J50:K50"/>
    <mergeCell ref="C52:F52"/>
    <mergeCell ref="J52:K52"/>
    <mergeCell ref="C53:F53"/>
    <mergeCell ref="J53:K53"/>
    <mergeCell ref="C47:F47"/>
    <mergeCell ref="J47:K47"/>
    <mergeCell ref="C44:F44"/>
    <mergeCell ref="J44:K44"/>
    <mergeCell ref="C45:F45"/>
    <mergeCell ref="J45:K45"/>
    <mergeCell ref="C46:F46"/>
    <mergeCell ref="J46:K46"/>
    <mergeCell ref="C41:F41"/>
    <mergeCell ref="J41:K41"/>
    <mergeCell ref="C42:F42"/>
    <mergeCell ref="J42:K42"/>
    <mergeCell ref="C43:F43"/>
    <mergeCell ref="J43:K43"/>
    <mergeCell ref="C60:F60"/>
    <mergeCell ref="J60:K60"/>
    <mergeCell ref="C61:F61"/>
    <mergeCell ref="J61:K61"/>
    <mergeCell ref="C62:F62"/>
    <mergeCell ref="J62:K62"/>
    <mergeCell ref="C57:F57"/>
    <mergeCell ref="J57:K57"/>
    <mergeCell ref="C58:F58"/>
    <mergeCell ref="J58:K58"/>
    <mergeCell ref="C59:F59"/>
    <mergeCell ref="J59:K59"/>
    <mergeCell ref="C54:F54"/>
    <mergeCell ref="J54:K54"/>
    <mergeCell ref="C55:F55"/>
    <mergeCell ref="J55:K55"/>
    <mergeCell ref="C56:F56"/>
    <mergeCell ref="J56:K56"/>
    <mergeCell ref="C72:F72"/>
    <mergeCell ref="J72:K72"/>
    <mergeCell ref="C73:F73"/>
    <mergeCell ref="J73:K73"/>
    <mergeCell ref="C74:F74"/>
    <mergeCell ref="J74:K74"/>
    <mergeCell ref="C66:F66"/>
    <mergeCell ref="J66:K66"/>
    <mergeCell ref="J67:K67"/>
    <mergeCell ref="J68:K68"/>
    <mergeCell ref="J69:K69"/>
    <mergeCell ref="C71:F71"/>
    <mergeCell ref="J71:K71"/>
    <mergeCell ref="C63:F63"/>
    <mergeCell ref="J63:K63"/>
    <mergeCell ref="C64:F64"/>
    <mergeCell ref="J64:K64"/>
    <mergeCell ref="C65:F65"/>
    <mergeCell ref="J65:K65"/>
    <mergeCell ref="J85:K85"/>
    <mergeCell ref="C87:F87"/>
    <mergeCell ref="J87:K87"/>
    <mergeCell ref="C88:F88"/>
    <mergeCell ref="J88:K88"/>
    <mergeCell ref="C89:F89"/>
    <mergeCell ref="J89:K89"/>
    <mergeCell ref="C81:F81"/>
    <mergeCell ref="J81:K81"/>
    <mergeCell ref="C82:F82"/>
    <mergeCell ref="J82:K82"/>
    <mergeCell ref="J83:K83"/>
    <mergeCell ref="J84:K84"/>
    <mergeCell ref="J75:K75"/>
    <mergeCell ref="J76:K76"/>
    <mergeCell ref="J77:K77"/>
    <mergeCell ref="C79:F79"/>
    <mergeCell ref="J79:K79"/>
    <mergeCell ref="C80:F80"/>
    <mergeCell ref="J80:K80"/>
    <mergeCell ref="C102:F102"/>
    <mergeCell ref="J102:K102"/>
    <mergeCell ref="C103:F103"/>
    <mergeCell ref="J103:K103"/>
    <mergeCell ref="J104:K104"/>
    <mergeCell ref="J105:K105"/>
    <mergeCell ref="C96:F96"/>
    <mergeCell ref="J96:K96"/>
    <mergeCell ref="J97:K97"/>
    <mergeCell ref="J98:K98"/>
    <mergeCell ref="J99:K99"/>
    <mergeCell ref="C101:F101"/>
    <mergeCell ref="J101:K101"/>
    <mergeCell ref="J90:K90"/>
    <mergeCell ref="J91:K91"/>
    <mergeCell ref="J92:K92"/>
    <mergeCell ref="C94:F94"/>
    <mergeCell ref="J94:K94"/>
    <mergeCell ref="C95:F95"/>
    <mergeCell ref="J95:K95"/>
    <mergeCell ref="C117:F117"/>
    <mergeCell ref="J117:K117"/>
    <mergeCell ref="C118:F118"/>
    <mergeCell ref="J118:K118"/>
    <mergeCell ref="C119:F119"/>
    <mergeCell ref="J119:K119"/>
    <mergeCell ref="C111:F111"/>
    <mergeCell ref="J111:K111"/>
    <mergeCell ref="J112:K112"/>
    <mergeCell ref="J113:K113"/>
    <mergeCell ref="J114:K114"/>
    <mergeCell ref="C116:F116"/>
    <mergeCell ref="J116:K116"/>
    <mergeCell ref="J106:K106"/>
    <mergeCell ref="C108:F108"/>
    <mergeCell ref="J108:K108"/>
    <mergeCell ref="C109:F109"/>
    <mergeCell ref="J109:K109"/>
    <mergeCell ref="C110:F110"/>
    <mergeCell ref="J110:K110"/>
    <mergeCell ref="C129:F129"/>
    <mergeCell ref="J129:K129"/>
    <mergeCell ref="C130:F130"/>
    <mergeCell ref="J130:K130"/>
    <mergeCell ref="C131:F131"/>
    <mergeCell ref="J131:K131"/>
    <mergeCell ref="J123:K123"/>
    <mergeCell ref="J124:K124"/>
    <mergeCell ref="J125:K125"/>
    <mergeCell ref="C127:F127"/>
    <mergeCell ref="J127:K127"/>
    <mergeCell ref="C128:F128"/>
    <mergeCell ref="J128:K128"/>
    <mergeCell ref="C120:F120"/>
    <mergeCell ref="J120:K120"/>
    <mergeCell ref="C121:F121"/>
    <mergeCell ref="J121:K121"/>
    <mergeCell ref="C122:F122"/>
    <mergeCell ref="J122:K122"/>
    <mergeCell ref="C141:F141"/>
    <mergeCell ref="J141:K141"/>
    <mergeCell ref="C142:F142"/>
    <mergeCell ref="J142:K142"/>
    <mergeCell ref="C143:F143"/>
    <mergeCell ref="J143:K143"/>
    <mergeCell ref="J135:K135"/>
    <mergeCell ref="J136:K136"/>
    <mergeCell ref="J137:K137"/>
    <mergeCell ref="C139:F139"/>
    <mergeCell ref="J139:K139"/>
    <mergeCell ref="C140:F140"/>
    <mergeCell ref="J140:K140"/>
    <mergeCell ref="C132:F132"/>
    <mergeCell ref="J132:K132"/>
    <mergeCell ref="C133:F133"/>
    <mergeCell ref="J133:K133"/>
    <mergeCell ref="C134:F134"/>
    <mergeCell ref="J134:K134"/>
    <mergeCell ref="C153:F153"/>
    <mergeCell ref="J153:K153"/>
    <mergeCell ref="C154:F154"/>
    <mergeCell ref="J154:K154"/>
    <mergeCell ref="C155:F155"/>
    <mergeCell ref="J155:K155"/>
    <mergeCell ref="J147:K147"/>
    <mergeCell ref="J148:K148"/>
    <mergeCell ref="J149:K149"/>
    <mergeCell ref="C151:F151"/>
    <mergeCell ref="J151:K151"/>
    <mergeCell ref="C152:F152"/>
    <mergeCell ref="J152:K152"/>
    <mergeCell ref="C144:F144"/>
    <mergeCell ref="J144:K144"/>
    <mergeCell ref="C145:F145"/>
    <mergeCell ref="J145:K145"/>
    <mergeCell ref="C146:F146"/>
    <mergeCell ref="J146:K146"/>
    <mergeCell ref="C162:F162"/>
    <mergeCell ref="J162:K162"/>
    <mergeCell ref="C163:F163"/>
    <mergeCell ref="J163:K163"/>
    <mergeCell ref="C164:F164"/>
    <mergeCell ref="J164:K164"/>
    <mergeCell ref="C159:F159"/>
    <mergeCell ref="J159:K159"/>
    <mergeCell ref="C160:F160"/>
    <mergeCell ref="J160:K160"/>
    <mergeCell ref="C161:F161"/>
    <mergeCell ref="J161:K161"/>
    <mergeCell ref="C156:F156"/>
    <mergeCell ref="J156:K156"/>
    <mergeCell ref="C157:F157"/>
    <mergeCell ref="J157:K157"/>
    <mergeCell ref="C158:F158"/>
    <mergeCell ref="J158:K158"/>
    <mergeCell ref="C171:F171"/>
    <mergeCell ref="J171:K171"/>
    <mergeCell ref="C172:F172"/>
    <mergeCell ref="J172:K172"/>
    <mergeCell ref="C173:F173"/>
    <mergeCell ref="J173:K173"/>
    <mergeCell ref="C168:F168"/>
    <mergeCell ref="J168:K168"/>
    <mergeCell ref="C169:F169"/>
    <mergeCell ref="J169:K169"/>
    <mergeCell ref="C170:F170"/>
    <mergeCell ref="J170:K170"/>
    <mergeCell ref="C165:F165"/>
    <mergeCell ref="J165:K165"/>
    <mergeCell ref="C166:F166"/>
    <mergeCell ref="J166:K166"/>
    <mergeCell ref="C167:F167"/>
    <mergeCell ref="J167:K167"/>
    <mergeCell ref="J181:K181"/>
    <mergeCell ref="C183:F183"/>
    <mergeCell ref="J183:K183"/>
    <mergeCell ref="C184:F184"/>
    <mergeCell ref="J184:K184"/>
    <mergeCell ref="C185:F185"/>
    <mergeCell ref="J185:K185"/>
    <mergeCell ref="C177:F177"/>
    <mergeCell ref="J177:K177"/>
    <mergeCell ref="C178:F178"/>
    <mergeCell ref="J178:K178"/>
    <mergeCell ref="J179:K179"/>
    <mergeCell ref="J180:K180"/>
    <mergeCell ref="C174:F174"/>
    <mergeCell ref="J174:K174"/>
    <mergeCell ref="C175:F175"/>
    <mergeCell ref="J175:K175"/>
    <mergeCell ref="C176:F176"/>
    <mergeCell ref="J176:K176"/>
    <mergeCell ref="C195:F195"/>
    <mergeCell ref="J195:K195"/>
    <mergeCell ref="C196:F196"/>
    <mergeCell ref="J196:K196"/>
    <mergeCell ref="C197:F197"/>
    <mergeCell ref="J197:K197"/>
    <mergeCell ref="J190:K190"/>
    <mergeCell ref="C192:F192"/>
    <mergeCell ref="J192:K192"/>
    <mergeCell ref="C193:F193"/>
    <mergeCell ref="J193:K193"/>
    <mergeCell ref="C194:F194"/>
    <mergeCell ref="J194:K194"/>
    <mergeCell ref="C186:F186"/>
    <mergeCell ref="J186:K186"/>
    <mergeCell ref="C187:F187"/>
    <mergeCell ref="J187:K187"/>
    <mergeCell ref="J188:K188"/>
    <mergeCell ref="J189:K189"/>
    <mergeCell ref="C204:F204"/>
    <mergeCell ref="J204:K204"/>
    <mergeCell ref="C205:F205"/>
    <mergeCell ref="J205:K205"/>
    <mergeCell ref="J206:K206"/>
    <mergeCell ref="J207:K207"/>
    <mergeCell ref="C201:F201"/>
    <mergeCell ref="J201:K201"/>
    <mergeCell ref="C202:F202"/>
    <mergeCell ref="J202:K202"/>
    <mergeCell ref="C203:F203"/>
    <mergeCell ref="J203:K203"/>
    <mergeCell ref="C198:F198"/>
    <mergeCell ref="J198:K198"/>
    <mergeCell ref="C199:F199"/>
    <mergeCell ref="J199:K199"/>
    <mergeCell ref="C200:F200"/>
    <mergeCell ref="J200:K200"/>
    <mergeCell ref="C216:F216"/>
    <mergeCell ref="J216:K216"/>
    <mergeCell ref="C217:F217"/>
    <mergeCell ref="J217:K217"/>
    <mergeCell ref="C218:F218"/>
    <mergeCell ref="J218:K218"/>
    <mergeCell ref="C213:F213"/>
    <mergeCell ref="J213:K213"/>
    <mergeCell ref="C214:F214"/>
    <mergeCell ref="J214:K214"/>
    <mergeCell ref="C215:F215"/>
    <mergeCell ref="J215:K215"/>
    <mergeCell ref="J208:K208"/>
    <mergeCell ref="C210:F210"/>
    <mergeCell ref="J210:K210"/>
    <mergeCell ref="C211:F211"/>
    <mergeCell ref="J211:K211"/>
    <mergeCell ref="C212:F212"/>
    <mergeCell ref="J212:K212"/>
    <mergeCell ref="C228:F228"/>
    <mergeCell ref="J228:K228"/>
    <mergeCell ref="C229:F229"/>
    <mergeCell ref="J229:K229"/>
    <mergeCell ref="C230:F230"/>
    <mergeCell ref="J230:K230"/>
    <mergeCell ref="J222:K222"/>
    <mergeCell ref="J223:K223"/>
    <mergeCell ref="J224:K224"/>
    <mergeCell ref="C226:F226"/>
    <mergeCell ref="J226:K226"/>
    <mergeCell ref="C227:F227"/>
    <mergeCell ref="J227:K227"/>
    <mergeCell ref="C219:F219"/>
    <mergeCell ref="J219:K219"/>
    <mergeCell ref="C220:F220"/>
    <mergeCell ref="J220:K220"/>
    <mergeCell ref="C221:F221"/>
    <mergeCell ref="J221:K221"/>
    <mergeCell ref="C240:F240"/>
    <mergeCell ref="J240:K240"/>
    <mergeCell ref="C241:F241"/>
    <mergeCell ref="J241:K241"/>
    <mergeCell ref="C242:F242"/>
    <mergeCell ref="J242:K242"/>
    <mergeCell ref="J235:K235"/>
    <mergeCell ref="C237:F237"/>
    <mergeCell ref="J237:K237"/>
    <mergeCell ref="C238:F238"/>
    <mergeCell ref="J238:K238"/>
    <mergeCell ref="C239:F239"/>
    <mergeCell ref="J239:K239"/>
    <mergeCell ref="C231:F231"/>
    <mergeCell ref="J231:K231"/>
    <mergeCell ref="C232:F232"/>
    <mergeCell ref="J232:K232"/>
    <mergeCell ref="J233:K233"/>
    <mergeCell ref="J234:K234"/>
    <mergeCell ref="C252:F252"/>
    <mergeCell ref="J252:K252"/>
    <mergeCell ref="C253:F253"/>
    <mergeCell ref="J253:K253"/>
    <mergeCell ref="J254:K254"/>
    <mergeCell ref="J255:K255"/>
    <mergeCell ref="J247:K247"/>
    <mergeCell ref="C249:F249"/>
    <mergeCell ref="J249:K249"/>
    <mergeCell ref="C250:F250"/>
    <mergeCell ref="J250:K250"/>
    <mergeCell ref="C251:F251"/>
    <mergeCell ref="J251:K251"/>
    <mergeCell ref="C243:F243"/>
    <mergeCell ref="J243:K243"/>
    <mergeCell ref="C244:F244"/>
    <mergeCell ref="J244:K244"/>
    <mergeCell ref="J245:K245"/>
    <mergeCell ref="J246:K246"/>
    <mergeCell ref="J265:K265"/>
    <mergeCell ref="C267:F267"/>
    <mergeCell ref="J267:K267"/>
    <mergeCell ref="C268:F268"/>
    <mergeCell ref="J268:K268"/>
    <mergeCell ref="C269:F269"/>
    <mergeCell ref="J269:K269"/>
    <mergeCell ref="C261:F261"/>
    <mergeCell ref="J261:K261"/>
    <mergeCell ref="C262:F262"/>
    <mergeCell ref="J262:K262"/>
    <mergeCell ref="J263:K263"/>
    <mergeCell ref="J264:K264"/>
    <mergeCell ref="J256:K256"/>
    <mergeCell ref="C258:F258"/>
    <mergeCell ref="J258:K258"/>
    <mergeCell ref="C259:F259"/>
    <mergeCell ref="J259:K259"/>
    <mergeCell ref="C260:F260"/>
    <mergeCell ref="J260:K260"/>
    <mergeCell ref="C279:F279"/>
    <mergeCell ref="J279:K279"/>
    <mergeCell ref="C280:F280"/>
    <mergeCell ref="J280:K280"/>
    <mergeCell ref="C281:F281"/>
    <mergeCell ref="J281:K281"/>
    <mergeCell ref="C273:F273"/>
    <mergeCell ref="J273:K273"/>
    <mergeCell ref="J274:K274"/>
    <mergeCell ref="J275:K275"/>
    <mergeCell ref="J276:K276"/>
    <mergeCell ref="C278:F278"/>
    <mergeCell ref="J278:K278"/>
    <mergeCell ref="C270:F270"/>
    <mergeCell ref="J270:K270"/>
    <mergeCell ref="C271:F271"/>
    <mergeCell ref="J271:K271"/>
    <mergeCell ref="C272:F272"/>
    <mergeCell ref="J272:K272"/>
    <mergeCell ref="C291:F291"/>
    <mergeCell ref="J291:K291"/>
    <mergeCell ref="C292:F292"/>
    <mergeCell ref="J292:K292"/>
    <mergeCell ref="C293:F293"/>
    <mergeCell ref="J293:K293"/>
    <mergeCell ref="C288:F288"/>
    <mergeCell ref="J288:K288"/>
    <mergeCell ref="C289:F289"/>
    <mergeCell ref="J289:K289"/>
    <mergeCell ref="C290:F290"/>
    <mergeCell ref="J290:K290"/>
    <mergeCell ref="C282:F282"/>
    <mergeCell ref="J282:K282"/>
    <mergeCell ref="J283:K283"/>
    <mergeCell ref="J284:K284"/>
    <mergeCell ref="J285:K285"/>
    <mergeCell ref="C287:F287"/>
    <mergeCell ref="J287:K287"/>
    <mergeCell ref="C303:F303"/>
    <mergeCell ref="J303:K303"/>
    <mergeCell ref="C304:F304"/>
    <mergeCell ref="J304:K304"/>
    <mergeCell ref="C305:F305"/>
    <mergeCell ref="J305:K305"/>
    <mergeCell ref="J297:K297"/>
    <mergeCell ref="J298:K298"/>
    <mergeCell ref="J299:K299"/>
    <mergeCell ref="C301:F301"/>
    <mergeCell ref="J301:K301"/>
    <mergeCell ref="C302:F302"/>
    <mergeCell ref="J302:K302"/>
    <mergeCell ref="C294:F294"/>
    <mergeCell ref="J294:K294"/>
    <mergeCell ref="C295:F295"/>
    <mergeCell ref="J295:K295"/>
    <mergeCell ref="C296:F296"/>
    <mergeCell ref="J296:K296"/>
    <mergeCell ref="C315:F315"/>
    <mergeCell ref="J315:K315"/>
    <mergeCell ref="C316:F316"/>
    <mergeCell ref="J316:K316"/>
    <mergeCell ref="C312:F312"/>
    <mergeCell ref="J312:K312"/>
    <mergeCell ref="C313:F313"/>
    <mergeCell ref="J313:K313"/>
    <mergeCell ref="C314:F314"/>
    <mergeCell ref="J314:K314"/>
    <mergeCell ref="C306:F306"/>
    <mergeCell ref="J306:K306"/>
    <mergeCell ref="J307:K307"/>
    <mergeCell ref="J308:K308"/>
    <mergeCell ref="J309:K309"/>
    <mergeCell ref="C311:F311"/>
    <mergeCell ref="J311:K311"/>
    <mergeCell ref="C325:F325"/>
    <mergeCell ref="J325:K325"/>
    <mergeCell ref="C326:F326"/>
    <mergeCell ref="J326:K326"/>
    <mergeCell ref="C327:F327"/>
    <mergeCell ref="J327:K327"/>
    <mergeCell ref="C322:F322"/>
    <mergeCell ref="J322:K322"/>
    <mergeCell ref="C323:F323"/>
    <mergeCell ref="J323:K323"/>
    <mergeCell ref="C324:F324"/>
    <mergeCell ref="J324:K324"/>
    <mergeCell ref="J317:K317"/>
    <mergeCell ref="J318:K318"/>
    <mergeCell ref="J319:K319"/>
    <mergeCell ref="C321:F321"/>
    <mergeCell ref="J321:K321"/>
    <mergeCell ref="C337:F337"/>
    <mergeCell ref="J337:K337"/>
    <mergeCell ref="C338:F338"/>
    <mergeCell ref="J338:K338"/>
    <mergeCell ref="C339:F339"/>
    <mergeCell ref="J339:K339"/>
    <mergeCell ref="J332:K332"/>
    <mergeCell ref="C334:F334"/>
    <mergeCell ref="J334:K334"/>
    <mergeCell ref="C335:F335"/>
    <mergeCell ref="J335:K335"/>
    <mergeCell ref="C336:F336"/>
    <mergeCell ref="J336:K336"/>
    <mergeCell ref="C328:F328"/>
    <mergeCell ref="J328:K328"/>
    <mergeCell ref="C329:F329"/>
    <mergeCell ref="J329:K329"/>
    <mergeCell ref="J330:K330"/>
    <mergeCell ref="J331:K331"/>
    <mergeCell ref="C349:F349"/>
    <mergeCell ref="J349:K349"/>
    <mergeCell ref="C350:F350"/>
    <mergeCell ref="J350:K350"/>
    <mergeCell ref="C351:F351"/>
    <mergeCell ref="J351:K351"/>
    <mergeCell ref="J344:K344"/>
    <mergeCell ref="C346:F346"/>
    <mergeCell ref="J346:K346"/>
    <mergeCell ref="C347:F347"/>
    <mergeCell ref="J347:K347"/>
    <mergeCell ref="C348:F348"/>
    <mergeCell ref="J348:K348"/>
    <mergeCell ref="C340:F340"/>
    <mergeCell ref="J340:K340"/>
    <mergeCell ref="C341:F341"/>
    <mergeCell ref="J341:K341"/>
    <mergeCell ref="J342:K342"/>
    <mergeCell ref="J343:K343"/>
    <mergeCell ref="C364:F364"/>
    <mergeCell ref="J364:K364"/>
    <mergeCell ref="C361:F361"/>
    <mergeCell ref="J361:K361"/>
    <mergeCell ref="C362:F362"/>
    <mergeCell ref="J362:K362"/>
    <mergeCell ref="C363:F363"/>
    <mergeCell ref="J363:K363"/>
    <mergeCell ref="J355:K355"/>
    <mergeCell ref="J356:K356"/>
    <mergeCell ref="J357:K357"/>
    <mergeCell ref="C359:F359"/>
    <mergeCell ref="J359:K359"/>
    <mergeCell ref="C360:F360"/>
    <mergeCell ref="J360:K360"/>
    <mergeCell ref="C352:F352"/>
    <mergeCell ref="J352:K352"/>
    <mergeCell ref="C353:F353"/>
    <mergeCell ref="J353:K353"/>
    <mergeCell ref="C354:F354"/>
    <mergeCell ref="J354:K354"/>
    <mergeCell ref="C374:F374"/>
    <mergeCell ref="J374:K374"/>
    <mergeCell ref="C375:F375"/>
    <mergeCell ref="J375:K375"/>
    <mergeCell ref="C371:F371"/>
    <mergeCell ref="J371:K371"/>
    <mergeCell ref="C372:F372"/>
    <mergeCell ref="J372:K372"/>
    <mergeCell ref="C373:F373"/>
    <mergeCell ref="J373:K373"/>
    <mergeCell ref="J365:K365"/>
    <mergeCell ref="J366:K366"/>
    <mergeCell ref="J367:K367"/>
    <mergeCell ref="C369:F369"/>
    <mergeCell ref="J369:K369"/>
    <mergeCell ref="C370:F370"/>
    <mergeCell ref="J370:K370"/>
    <mergeCell ref="J387:K387"/>
    <mergeCell ref="J388:K388"/>
    <mergeCell ref="C384:F384"/>
    <mergeCell ref="J384:K384"/>
    <mergeCell ref="C385:F385"/>
    <mergeCell ref="J385:K385"/>
    <mergeCell ref="C386:F386"/>
    <mergeCell ref="J386:K386"/>
    <mergeCell ref="C381:F381"/>
    <mergeCell ref="J381:K381"/>
    <mergeCell ref="C382:F382"/>
    <mergeCell ref="J382:K382"/>
    <mergeCell ref="C383:F383"/>
    <mergeCell ref="J383:K383"/>
    <mergeCell ref="J376:K376"/>
    <mergeCell ref="J377:K377"/>
    <mergeCell ref="J378:K378"/>
    <mergeCell ref="C380:F380"/>
    <mergeCell ref="J380:K380"/>
    <mergeCell ref="C401:F401"/>
    <mergeCell ref="J401:K401"/>
    <mergeCell ref="C402:F402"/>
    <mergeCell ref="J402:K402"/>
    <mergeCell ref="C403:F403"/>
    <mergeCell ref="J403:K403"/>
    <mergeCell ref="J396:K396"/>
    <mergeCell ref="J397:K397"/>
    <mergeCell ref="J398:K398"/>
    <mergeCell ref="C400:F400"/>
    <mergeCell ref="J400:K400"/>
    <mergeCell ref="C394:F394"/>
    <mergeCell ref="J394:K394"/>
    <mergeCell ref="C395:F395"/>
    <mergeCell ref="J395:K395"/>
    <mergeCell ref="J389:K389"/>
    <mergeCell ref="C391:F391"/>
    <mergeCell ref="J391:K391"/>
    <mergeCell ref="C392:F392"/>
    <mergeCell ref="J392:K392"/>
    <mergeCell ref="C393:F393"/>
    <mergeCell ref="J393:K393"/>
    <mergeCell ref="C413:F413"/>
    <mergeCell ref="J413:K413"/>
    <mergeCell ref="J414:K414"/>
    <mergeCell ref="J415:K415"/>
    <mergeCell ref="J416:K416"/>
    <mergeCell ref="C418:F418"/>
    <mergeCell ref="J418:K418"/>
    <mergeCell ref="C410:F410"/>
    <mergeCell ref="J410:K410"/>
    <mergeCell ref="C411:F411"/>
    <mergeCell ref="J411:K411"/>
    <mergeCell ref="C412:F412"/>
    <mergeCell ref="J412:K412"/>
    <mergeCell ref="C404:F404"/>
    <mergeCell ref="J404:K404"/>
    <mergeCell ref="J405:K405"/>
    <mergeCell ref="J406:K406"/>
    <mergeCell ref="J407:K407"/>
    <mergeCell ref="C409:F409"/>
    <mergeCell ref="J409:K409"/>
    <mergeCell ref="C429:F429"/>
    <mergeCell ref="J429:K429"/>
    <mergeCell ref="C430:F430"/>
    <mergeCell ref="J430:K430"/>
    <mergeCell ref="C431:F431"/>
    <mergeCell ref="J431:K431"/>
    <mergeCell ref="J424:K424"/>
    <mergeCell ref="J425:K425"/>
    <mergeCell ref="J426:K426"/>
    <mergeCell ref="C428:F428"/>
    <mergeCell ref="J428:K428"/>
    <mergeCell ref="C422:F422"/>
    <mergeCell ref="J422:K422"/>
    <mergeCell ref="C423:F423"/>
    <mergeCell ref="J423:K423"/>
    <mergeCell ref="C419:F419"/>
    <mergeCell ref="J419:K419"/>
    <mergeCell ref="C420:F420"/>
    <mergeCell ref="J420:K420"/>
    <mergeCell ref="C421:F421"/>
    <mergeCell ref="J421:K421"/>
    <mergeCell ref="C441:F441"/>
    <mergeCell ref="J441:K441"/>
    <mergeCell ref="C442:F442"/>
    <mergeCell ref="J442:K442"/>
    <mergeCell ref="C443:F443"/>
    <mergeCell ref="J443:K443"/>
    <mergeCell ref="C435:F435"/>
    <mergeCell ref="J435:K435"/>
    <mergeCell ref="J436:K436"/>
    <mergeCell ref="J437:K437"/>
    <mergeCell ref="J438:K438"/>
    <mergeCell ref="C440:F440"/>
    <mergeCell ref="J440:K440"/>
    <mergeCell ref="C432:F432"/>
    <mergeCell ref="J432:K432"/>
    <mergeCell ref="C433:F433"/>
    <mergeCell ref="J433:K433"/>
    <mergeCell ref="C434:F434"/>
    <mergeCell ref="J434:K434"/>
    <mergeCell ref="J452:K452"/>
    <mergeCell ref="C454:F454"/>
    <mergeCell ref="J454:K454"/>
    <mergeCell ref="C455:F455"/>
    <mergeCell ref="J455:K455"/>
    <mergeCell ref="C456:F456"/>
    <mergeCell ref="J456:K456"/>
    <mergeCell ref="J450:K450"/>
    <mergeCell ref="J451:K451"/>
    <mergeCell ref="C447:F447"/>
    <mergeCell ref="J447:K447"/>
    <mergeCell ref="C448:F448"/>
    <mergeCell ref="J448:K448"/>
    <mergeCell ref="C449:F449"/>
    <mergeCell ref="J449:K449"/>
    <mergeCell ref="C444:F444"/>
    <mergeCell ref="J444:K444"/>
    <mergeCell ref="C445:F445"/>
    <mergeCell ref="J445:K445"/>
    <mergeCell ref="C446:F446"/>
    <mergeCell ref="J446:K446"/>
    <mergeCell ref="C463:F463"/>
    <mergeCell ref="J463:K463"/>
    <mergeCell ref="C464:F464"/>
    <mergeCell ref="J464:K464"/>
    <mergeCell ref="C465:F465"/>
    <mergeCell ref="J465:K465"/>
    <mergeCell ref="C460:F460"/>
    <mergeCell ref="J460:K460"/>
    <mergeCell ref="C461:F461"/>
    <mergeCell ref="J461:K461"/>
    <mergeCell ref="C462:F462"/>
    <mergeCell ref="J462:K462"/>
    <mergeCell ref="C457:F457"/>
    <mergeCell ref="J457:K457"/>
    <mergeCell ref="C458:F458"/>
    <mergeCell ref="J458:K458"/>
    <mergeCell ref="C459:F459"/>
    <mergeCell ref="J459:K459"/>
    <mergeCell ref="C472:F472"/>
    <mergeCell ref="J472:K472"/>
    <mergeCell ref="C473:F473"/>
    <mergeCell ref="J473:K473"/>
    <mergeCell ref="C474:F474"/>
    <mergeCell ref="J474:K474"/>
    <mergeCell ref="C469:F469"/>
    <mergeCell ref="J469:K469"/>
    <mergeCell ref="C470:F470"/>
    <mergeCell ref="J470:K470"/>
    <mergeCell ref="C471:F471"/>
    <mergeCell ref="J471:K471"/>
    <mergeCell ref="C466:F466"/>
    <mergeCell ref="J466:K466"/>
    <mergeCell ref="C467:F467"/>
    <mergeCell ref="J467:K467"/>
    <mergeCell ref="C468:F468"/>
    <mergeCell ref="J468:K468"/>
    <mergeCell ref="J481:K481"/>
    <mergeCell ref="J482:K482"/>
    <mergeCell ref="J483:K483"/>
    <mergeCell ref="C485:F485"/>
    <mergeCell ref="J485:K485"/>
    <mergeCell ref="C486:F486"/>
    <mergeCell ref="J486:K486"/>
    <mergeCell ref="C478:F478"/>
    <mergeCell ref="J478:K478"/>
    <mergeCell ref="C479:F479"/>
    <mergeCell ref="J479:K479"/>
    <mergeCell ref="C480:F480"/>
    <mergeCell ref="J480:K480"/>
    <mergeCell ref="C475:F475"/>
    <mergeCell ref="J475:K475"/>
    <mergeCell ref="C476:F476"/>
    <mergeCell ref="J476:K476"/>
    <mergeCell ref="C477:F477"/>
    <mergeCell ref="J477:K477"/>
    <mergeCell ref="J496:K496"/>
    <mergeCell ref="J497:K497"/>
    <mergeCell ref="C493:F493"/>
    <mergeCell ref="J493:K493"/>
    <mergeCell ref="C494:F494"/>
    <mergeCell ref="J494:K494"/>
    <mergeCell ref="C495:F495"/>
    <mergeCell ref="J495:K495"/>
    <mergeCell ref="C490:F490"/>
    <mergeCell ref="J490:K490"/>
    <mergeCell ref="C491:F491"/>
    <mergeCell ref="J491:K491"/>
    <mergeCell ref="C492:F492"/>
    <mergeCell ref="J492:K492"/>
    <mergeCell ref="C487:F487"/>
    <mergeCell ref="J487:K487"/>
    <mergeCell ref="C488:F488"/>
    <mergeCell ref="J488:K488"/>
    <mergeCell ref="C489:F489"/>
    <mergeCell ref="J489:K489"/>
    <mergeCell ref="C506:F506"/>
    <mergeCell ref="J506:K506"/>
    <mergeCell ref="C507:F507"/>
    <mergeCell ref="J507:K507"/>
    <mergeCell ref="C508:F508"/>
    <mergeCell ref="J508:K508"/>
    <mergeCell ref="C503:F503"/>
    <mergeCell ref="J503:K503"/>
    <mergeCell ref="C504:F504"/>
    <mergeCell ref="J504:K504"/>
    <mergeCell ref="C505:F505"/>
    <mergeCell ref="J505:K505"/>
    <mergeCell ref="J498:K498"/>
    <mergeCell ref="C500:F500"/>
    <mergeCell ref="J500:K500"/>
    <mergeCell ref="C501:F501"/>
    <mergeCell ref="J501:K501"/>
    <mergeCell ref="C502:F502"/>
    <mergeCell ref="J502:K502"/>
    <mergeCell ref="J518:K518"/>
    <mergeCell ref="J519:K519"/>
    <mergeCell ref="J520:K520"/>
    <mergeCell ref="C522:F522"/>
    <mergeCell ref="J522:K522"/>
    <mergeCell ref="C516:F516"/>
    <mergeCell ref="J516:K516"/>
    <mergeCell ref="C517:F517"/>
    <mergeCell ref="J517:K517"/>
    <mergeCell ref="J511:K511"/>
    <mergeCell ref="C513:F513"/>
    <mergeCell ref="J513:K513"/>
    <mergeCell ref="C514:F514"/>
    <mergeCell ref="J514:K514"/>
    <mergeCell ref="C515:F515"/>
    <mergeCell ref="J515:K515"/>
    <mergeCell ref="J509:K509"/>
    <mergeCell ref="J510:K510"/>
    <mergeCell ref="C529:F529"/>
    <mergeCell ref="J529:K529"/>
    <mergeCell ref="C530:F530"/>
    <mergeCell ref="J530:K530"/>
    <mergeCell ref="C531:F531"/>
    <mergeCell ref="J531:K531"/>
    <mergeCell ref="C526:F526"/>
    <mergeCell ref="J526:K526"/>
    <mergeCell ref="C527:F527"/>
    <mergeCell ref="J527:K527"/>
    <mergeCell ref="C528:F528"/>
    <mergeCell ref="J528:K528"/>
    <mergeCell ref="C523:F523"/>
    <mergeCell ref="J523:K523"/>
    <mergeCell ref="C524:F524"/>
    <mergeCell ref="J524:K524"/>
    <mergeCell ref="C525:F525"/>
    <mergeCell ref="J525:K525"/>
    <mergeCell ref="C541:F541"/>
    <mergeCell ref="J541:K541"/>
    <mergeCell ref="C542:F542"/>
    <mergeCell ref="J542:K542"/>
    <mergeCell ref="C543:F543"/>
    <mergeCell ref="J543:K543"/>
    <mergeCell ref="C538:F538"/>
    <mergeCell ref="J538:K538"/>
    <mergeCell ref="C539:F539"/>
    <mergeCell ref="J539:K539"/>
    <mergeCell ref="C540:F540"/>
    <mergeCell ref="J540:K540"/>
    <mergeCell ref="C532:F532"/>
    <mergeCell ref="J532:K532"/>
    <mergeCell ref="J533:K533"/>
    <mergeCell ref="J534:K534"/>
    <mergeCell ref="J535:K535"/>
    <mergeCell ref="C537:F537"/>
    <mergeCell ref="J537:K537"/>
    <mergeCell ref="C550:F550"/>
    <mergeCell ref="J550:K550"/>
    <mergeCell ref="C551:F551"/>
    <mergeCell ref="J551:K551"/>
    <mergeCell ref="C552:F552"/>
    <mergeCell ref="J552:K552"/>
    <mergeCell ref="C547:F547"/>
    <mergeCell ref="J547:K547"/>
    <mergeCell ref="C548:F548"/>
    <mergeCell ref="J548:K548"/>
    <mergeCell ref="C549:F549"/>
    <mergeCell ref="J549:K549"/>
    <mergeCell ref="C544:F544"/>
    <mergeCell ref="J544:K544"/>
    <mergeCell ref="C545:F545"/>
    <mergeCell ref="J545:K545"/>
    <mergeCell ref="C546:F546"/>
    <mergeCell ref="J546:K546"/>
    <mergeCell ref="J560:K560"/>
    <mergeCell ref="C562:F562"/>
    <mergeCell ref="J562:K562"/>
    <mergeCell ref="C563:F563"/>
    <mergeCell ref="J563:K563"/>
    <mergeCell ref="C564:F564"/>
    <mergeCell ref="J564:K564"/>
    <mergeCell ref="C556:F556"/>
    <mergeCell ref="J556:K556"/>
    <mergeCell ref="C557:F557"/>
    <mergeCell ref="J557:K557"/>
    <mergeCell ref="J558:K558"/>
    <mergeCell ref="J559:K559"/>
    <mergeCell ref="C553:F553"/>
    <mergeCell ref="J553:K553"/>
    <mergeCell ref="C554:F554"/>
    <mergeCell ref="J554:K554"/>
    <mergeCell ref="C555:F555"/>
    <mergeCell ref="J555:K555"/>
    <mergeCell ref="C571:F571"/>
    <mergeCell ref="J571:K571"/>
    <mergeCell ref="C572:F572"/>
    <mergeCell ref="J572:K572"/>
    <mergeCell ref="C573:F573"/>
    <mergeCell ref="J573:K573"/>
    <mergeCell ref="C568:F568"/>
    <mergeCell ref="J568:K568"/>
    <mergeCell ref="C569:F569"/>
    <mergeCell ref="J569:K569"/>
    <mergeCell ref="C570:F570"/>
    <mergeCell ref="J570:K570"/>
    <mergeCell ref="C565:F565"/>
    <mergeCell ref="J565:K565"/>
    <mergeCell ref="C566:F566"/>
    <mergeCell ref="J566:K566"/>
    <mergeCell ref="C567:F567"/>
    <mergeCell ref="J567:K567"/>
    <mergeCell ref="C583:F583"/>
    <mergeCell ref="J583:K583"/>
    <mergeCell ref="C584:F584"/>
    <mergeCell ref="J584:K584"/>
    <mergeCell ref="C585:F585"/>
    <mergeCell ref="J585:K585"/>
    <mergeCell ref="J578:K578"/>
    <mergeCell ref="C580:F580"/>
    <mergeCell ref="J580:K580"/>
    <mergeCell ref="C581:F581"/>
    <mergeCell ref="J581:K581"/>
    <mergeCell ref="C582:F582"/>
    <mergeCell ref="J582:K582"/>
    <mergeCell ref="C574:F574"/>
    <mergeCell ref="J574:K574"/>
    <mergeCell ref="C575:F575"/>
    <mergeCell ref="J575:K575"/>
    <mergeCell ref="J576:K576"/>
    <mergeCell ref="J577:K577"/>
    <mergeCell ref="C595:F595"/>
    <mergeCell ref="J595:K595"/>
    <mergeCell ref="C596:F596"/>
    <mergeCell ref="J596:K596"/>
    <mergeCell ref="C597:F597"/>
    <mergeCell ref="J597:K597"/>
    <mergeCell ref="J590:K590"/>
    <mergeCell ref="C592:F592"/>
    <mergeCell ref="J592:K592"/>
    <mergeCell ref="C593:F593"/>
    <mergeCell ref="J593:K593"/>
    <mergeCell ref="C594:F594"/>
    <mergeCell ref="J594:K594"/>
    <mergeCell ref="C586:F586"/>
    <mergeCell ref="J586:K586"/>
    <mergeCell ref="C587:F587"/>
    <mergeCell ref="J587:K587"/>
    <mergeCell ref="J588:K588"/>
    <mergeCell ref="J589:K589"/>
    <mergeCell ref="C607:F607"/>
    <mergeCell ref="J607:K607"/>
    <mergeCell ref="C604:F604"/>
    <mergeCell ref="J604:K604"/>
    <mergeCell ref="C605:F605"/>
    <mergeCell ref="J605:K605"/>
    <mergeCell ref="C606:F606"/>
    <mergeCell ref="J606:K606"/>
    <mergeCell ref="C601:F601"/>
    <mergeCell ref="J601:K601"/>
    <mergeCell ref="C602:F602"/>
    <mergeCell ref="J602:K602"/>
    <mergeCell ref="C603:F603"/>
    <mergeCell ref="J603:K603"/>
    <mergeCell ref="C598:F598"/>
    <mergeCell ref="J598:K598"/>
    <mergeCell ref="C599:F599"/>
    <mergeCell ref="J599:K599"/>
    <mergeCell ref="C600:F600"/>
    <mergeCell ref="J600:K600"/>
    <mergeCell ref="C619:F619"/>
    <mergeCell ref="J619:K619"/>
    <mergeCell ref="C616:F616"/>
    <mergeCell ref="J616:K616"/>
    <mergeCell ref="C617:F617"/>
    <mergeCell ref="J617:K617"/>
    <mergeCell ref="C618:F618"/>
    <mergeCell ref="J618:K618"/>
    <mergeCell ref="C613:F613"/>
    <mergeCell ref="J613:K613"/>
    <mergeCell ref="C614:F614"/>
    <mergeCell ref="J614:K614"/>
    <mergeCell ref="C615:F615"/>
    <mergeCell ref="J615:K615"/>
    <mergeCell ref="J608:K608"/>
    <mergeCell ref="J609:K609"/>
    <mergeCell ref="J610:K610"/>
    <mergeCell ref="C612:F612"/>
    <mergeCell ref="J612:K612"/>
    <mergeCell ref="C630:F630"/>
    <mergeCell ref="J630:K630"/>
    <mergeCell ref="J631:K631"/>
    <mergeCell ref="J632:K632"/>
    <mergeCell ref="C629:F629"/>
    <mergeCell ref="J629:K629"/>
    <mergeCell ref="C626:F626"/>
    <mergeCell ref="J626:K626"/>
    <mergeCell ref="C627:F627"/>
    <mergeCell ref="J627:K627"/>
    <mergeCell ref="C628:F628"/>
    <mergeCell ref="J628:K628"/>
    <mergeCell ref="J620:K620"/>
    <mergeCell ref="J621:K621"/>
    <mergeCell ref="J622:K622"/>
    <mergeCell ref="C624:F624"/>
    <mergeCell ref="J624:K624"/>
    <mergeCell ref="C625:F625"/>
    <mergeCell ref="J625:K625"/>
    <mergeCell ref="J641:K641"/>
    <mergeCell ref="J642:K642"/>
    <mergeCell ref="J643:K643"/>
    <mergeCell ref="C645:F645"/>
    <mergeCell ref="J645:K645"/>
    <mergeCell ref="C646:F646"/>
    <mergeCell ref="J646:K646"/>
    <mergeCell ref="C638:F638"/>
    <mergeCell ref="J638:K638"/>
    <mergeCell ref="C639:F639"/>
    <mergeCell ref="J639:K639"/>
    <mergeCell ref="C640:F640"/>
    <mergeCell ref="J640:K640"/>
    <mergeCell ref="J633:K633"/>
    <mergeCell ref="C635:F635"/>
    <mergeCell ref="J635:K635"/>
    <mergeCell ref="C636:F636"/>
    <mergeCell ref="J636:K636"/>
    <mergeCell ref="C637:F637"/>
    <mergeCell ref="J637:K637"/>
    <mergeCell ref="C656:F656"/>
    <mergeCell ref="J656:K656"/>
    <mergeCell ref="C657:F657"/>
    <mergeCell ref="J657:K657"/>
    <mergeCell ref="C658:F658"/>
    <mergeCell ref="J658:K658"/>
    <mergeCell ref="C650:F650"/>
    <mergeCell ref="J650:K650"/>
    <mergeCell ref="J651:K651"/>
    <mergeCell ref="J652:K652"/>
    <mergeCell ref="J653:K653"/>
    <mergeCell ref="C655:F655"/>
    <mergeCell ref="J655:K655"/>
    <mergeCell ref="C647:F647"/>
    <mergeCell ref="J647:K647"/>
    <mergeCell ref="C648:F648"/>
    <mergeCell ref="J648:K648"/>
    <mergeCell ref="C649:F649"/>
    <mergeCell ref="J649:K649"/>
    <mergeCell ref="J669:K669"/>
    <mergeCell ref="J670:K670"/>
    <mergeCell ref="C666:F666"/>
    <mergeCell ref="J666:K666"/>
    <mergeCell ref="C667:F667"/>
    <mergeCell ref="J667:K667"/>
    <mergeCell ref="C668:F668"/>
    <mergeCell ref="J668:K668"/>
    <mergeCell ref="J660:K660"/>
    <mergeCell ref="J661:K661"/>
    <mergeCell ref="J662:K662"/>
    <mergeCell ref="C664:F664"/>
    <mergeCell ref="J664:K664"/>
    <mergeCell ref="C665:F665"/>
    <mergeCell ref="J665:K665"/>
    <mergeCell ref="C659:F659"/>
    <mergeCell ref="J659:K659"/>
    <mergeCell ref="J679:K679"/>
    <mergeCell ref="J680:K680"/>
    <mergeCell ref="J681:K681"/>
    <mergeCell ref="C683:F683"/>
    <mergeCell ref="J683:K683"/>
    <mergeCell ref="C684:F684"/>
    <mergeCell ref="J684:K684"/>
    <mergeCell ref="C676:F676"/>
    <mergeCell ref="J676:K676"/>
    <mergeCell ref="C677:F677"/>
    <mergeCell ref="J677:K677"/>
    <mergeCell ref="C678:F678"/>
    <mergeCell ref="J678:K678"/>
    <mergeCell ref="J671:K671"/>
    <mergeCell ref="C673:F673"/>
    <mergeCell ref="J673:K673"/>
    <mergeCell ref="C674:F674"/>
    <mergeCell ref="J674:K674"/>
    <mergeCell ref="C675:F675"/>
    <mergeCell ref="J675:K675"/>
    <mergeCell ref="C694:F694"/>
    <mergeCell ref="J694:K694"/>
    <mergeCell ref="C695:F695"/>
    <mergeCell ref="J695:K695"/>
    <mergeCell ref="C696:F696"/>
    <mergeCell ref="J696:K696"/>
    <mergeCell ref="C688:F688"/>
    <mergeCell ref="J688:K688"/>
    <mergeCell ref="J689:K689"/>
    <mergeCell ref="J690:K690"/>
    <mergeCell ref="J691:K691"/>
    <mergeCell ref="C693:F693"/>
    <mergeCell ref="J693:K693"/>
    <mergeCell ref="C685:F685"/>
    <mergeCell ref="J685:K685"/>
    <mergeCell ref="C686:F686"/>
    <mergeCell ref="J686:K686"/>
    <mergeCell ref="C687:F687"/>
    <mergeCell ref="J687:K687"/>
    <mergeCell ref="C706:F706"/>
    <mergeCell ref="J706:K706"/>
    <mergeCell ref="C707:F707"/>
    <mergeCell ref="J707:K707"/>
    <mergeCell ref="C708:F708"/>
    <mergeCell ref="J708:K708"/>
    <mergeCell ref="J701:K701"/>
    <mergeCell ref="C703:F703"/>
    <mergeCell ref="J703:K703"/>
    <mergeCell ref="C704:F704"/>
    <mergeCell ref="J704:K704"/>
    <mergeCell ref="C705:F705"/>
    <mergeCell ref="J705:K705"/>
    <mergeCell ref="C697:F697"/>
    <mergeCell ref="J697:K697"/>
    <mergeCell ref="C698:F698"/>
    <mergeCell ref="J698:K698"/>
    <mergeCell ref="J699:K699"/>
    <mergeCell ref="J700:K700"/>
    <mergeCell ref="J720:K720"/>
    <mergeCell ref="J721:K721"/>
    <mergeCell ref="J722:K722"/>
    <mergeCell ref="C724:F724"/>
    <mergeCell ref="J724:K724"/>
    <mergeCell ref="C718:F718"/>
    <mergeCell ref="J718:K718"/>
    <mergeCell ref="C719:F719"/>
    <mergeCell ref="J719:K719"/>
    <mergeCell ref="C715:F715"/>
    <mergeCell ref="J715:K715"/>
    <mergeCell ref="C716:F716"/>
    <mergeCell ref="J716:K716"/>
    <mergeCell ref="C717:F717"/>
    <mergeCell ref="J717:K717"/>
    <mergeCell ref="J709:K709"/>
    <mergeCell ref="J710:K710"/>
    <mergeCell ref="J711:K711"/>
    <mergeCell ref="C713:F713"/>
    <mergeCell ref="J713:K713"/>
    <mergeCell ref="C714:F714"/>
    <mergeCell ref="J714:K714"/>
    <mergeCell ref="C734:F734"/>
    <mergeCell ref="J734:K734"/>
    <mergeCell ref="C735:F735"/>
    <mergeCell ref="J735:K735"/>
    <mergeCell ref="J736:K736"/>
    <mergeCell ref="J737:K737"/>
    <mergeCell ref="J728:K728"/>
    <mergeCell ref="J729:K729"/>
    <mergeCell ref="J730:K730"/>
    <mergeCell ref="C732:F732"/>
    <mergeCell ref="J732:K732"/>
    <mergeCell ref="C733:F733"/>
    <mergeCell ref="J733:K733"/>
    <mergeCell ref="C725:F725"/>
    <mergeCell ref="J725:K725"/>
    <mergeCell ref="C726:F726"/>
    <mergeCell ref="J726:K726"/>
    <mergeCell ref="C727:F727"/>
    <mergeCell ref="J727:K727"/>
    <mergeCell ref="C749:F749"/>
    <mergeCell ref="J749:K749"/>
    <mergeCell ref="C750:F750"/>
    <mergeCell ref="J750:K750"/>
    <mergeCell ref="C751:F751"/>
    <mergeCell ref="J751:K751"/>
    <mergeCell ref="C743:F743"/>
    <mergeCell ref="J743:K743"/>
    <mergeCell ref="J744:K744"/>
    <mergeCell ref="J745:K745"/>
    <mergeCell ref="J746:K746"/>
    <mergeCell ref="C748:F748"/>
    <mergeCell ref="J748:K748"/>
    <mergeCell ref="J738:K738"/>
    <mergeCell ref="C740:F740"/>
    <mergeCell ref="J740:K740"/>
    <mergeCell ref="C741:F741"/>
    <mergeCell ref="J741:K741"/>
    <mergeCell ref="C742:F742"/>
    <mergeCell ref="J742:K742"/>
    <mergeCell ref="C762:F762"/>
    <mergeCell ref="J762:K762"/>
    <mergeCell ref="C763:F763"/>
    <mergeCell ref="J763:K763"/>
    <mergeCell ref="J764:K764"/>
    <mergeCell ref="J765:K765"/>
    <mergeCell ref="J756:K756"/>
    <mergeCell ref="J757:K757"/>
    <mergeCell ref="J758:K758"/>
    <mergeCell ref="C760:F760"/>
    <mergeCell ref="J760:K760"/>
    <mergeCell ref="C761:F761"/>
    <mergeCell ref="J761:K761"/>
    <mergeCell ref="C755:F755"/>
    <mergeCell ref="J755:K755"/>
    <mergeCell ref="C752:F752"/>
    <mergeCell ref="J752:K752"/>
    <mergeCell ref="C753:F753"/>
    <mergeCell ref="J753:K753"/>
    <mergeCell ref="C754:F754"/>
    <mergeCell ref="J754:K754"/>
    <mergeCell ref="J775:K775"/>
    <mergeCell ref="C777:F777"/>
    <mergeCell ref="J777:K777"/>
    <mergeCell ref="C778:F778"/>
    <mergeCell ref="J778:K778"/>
    <mergeCell ref="C779:F779"/>
    <mergeCell ref="J779:K779"/>
    <mergeCell ref="C771:F771"/>
    <mergeCell ref="J771:K771"/>
    <mergeCell ref="C772:F772"/>
    <mergeCell ref="J772:K772"/>
    <mergeCell ref="J773:K773"/>
    <mergeCell ref="J774:K774"/>
    <mergeCell ref="J766:K766"/>
    <mergeCell ref="C768:F768"/>
    <mergeCell ref="J768:K768"/>
    <mergeCell ref="C769:F769"/>
    <mergeCell ref="J769:K769"/>
    <mergeCell ref="C770:F770"/>
    <mergeCell ref="J770:K770"/>
    <mergeCell ref="C789:F789"/>
    <mergeCell ref="J789:K789"/>
    <mergeCell ref="J790:K790"/>
    <mergeCell ref="J791:K791"/>
    <mergeCell ref="J792:K792"/>
    <mergeCell ref="C786:F786"/>
    <mergeCell ref="J786:K786"/>
    <mergeCell ref="C787:F787"/>
    <mergeCell ref="J787:K787"/>
    <mergeCell ref="C788:F788"/>
    <mergeCell ref="J788:K788"/>
    <mergeCell ref="J780:K780"/>
    <mergeCell ref="J781:K781"/>
    <mergeCell ref="J782:K782"/>
    <mergeCell ref="C784:F784"/>
    <mergeCell ref="J784:K784"/>
    <mergeCell ref="C785:F785"/>
    <mergeCell ref="J785:K785"/>
  </mergeCells>
  <pageMargins left="0.70866141732283472" right="0.70866141732283472" top="0.74803149606299213" bottom="0.74803149606299213" header="0.31496062992125984" footer="0.31496062992125984"/>
  <pageSetup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9"/>
  <sheetViews>
    <sheetView showGridLines="0" workbookViewId="0">
      <selection activeCell="I9" sqref="I9"/>
    </sheetView>
  </sheetViews>
  <sheetFormatPr defaultRowHeight="15" customHeight="1" x14ac:dyDescent="0.25"/>
  <cols>
    <col min="1" max="1" width="14.7109375" style="1" customWidth="1"/>
    <col min="2" max="2" width="12.7109375" style="1" customWidth="1"/>
    <col min="3" max="3" width="4.7109375" style="1" customWidth="1"/>
    <col min="4" max="4" width="8.7109375" style="1" customWidth="1"/>
    <col min="5" max="5" width="25.7109375" style="1" customWidth="1"/>
    <col min="6" max="6" width="12.7109375" style="1" customWidth="1"/>
    <col min="7" max="7" width="8.7109375" style="1" customWidth="1"/>
    <col min="8" max="9" width="16.7109375" style="1" customWidth="1"/>
    <col min="10" max="11" width="8.7109375" style="1" customWidth="1"/>
    <col min="12" max="12" width="16.7109375" style="1" customWidth="1"/>
    <col min="13" max="13" width="27.5703125" style="1" customWidth="1"/>
    <col min="14" max="16384" width="9.140625" style="1"/>
  </cols>
  <sheetData>
    <row r="1" spans="1:13" ht="15" customHeight="1" x14ac:dyDescent="0.25">
      <c r="A1" s="52" t="str">
        <f>CIDADE</f>
        <v>MUNICÍPIO DE PICOS - PI</v>
      </c>
      <c r="B1" s="52"/>
      <c r="C1" s="52"/>
      <c r="D1" s="52"/>
      <c r="E1" s="52"/>
      <c r="F1" s="52"/>
      <c r="G1" s="52"/>
      <c r="H1" s="52"/>
      <c r="I1" s="52"/>
      <c r="J1" s="52"/>
      <c r="K1" s="52"/>
    </row>
    <row r="2" spans="1:13" ht="15" customHeight="1" x14ac:dyDescent="0.25">
      <c r="A2" s="52" t="str">
        <f>OBRA</f>
        <v>AMPLIAÇÃO ANTIGO PRÉDIO IAPEP PICOS</v>
      </c>
      <c r="B2" s="52"/>
      <c r="C2" s="52"/>
      <c r="D2" s="52"/>
      <c r="E2" s="52"/>
      <c r="F2" s="52"/>
      <c r="G2" s="52"/>
      <c r="H2" s="52"/>
      <c r="I2" s="52"/>
      <c r="J2" s="52"/>
      <c r="K2" s="52"/>
    </row>
    <row r="3" spans="1:13" ht="15" customHeight="1" x14ac:dyDescent="0.25">
      <c r="A3" s="52" t="s">
        <v>501</v>
      </c>
      <c r="B3" s="52"/>
      <c r="C3" s="52"/>
      <c r="D3" s="52"/>
      <c r="E3" s="52"/>
      <c r="F3" s="52"/>
      <c r="G3" s="52"/>
      <c r="H3" s="52"/>
      <c r="I3" s="52"/>
      <c r="J3" s="52"/>
      <c r="K3" s="52"/>
    </row>
    <row r="4" spans="1:13" ht="15" customHeight="1" x14ac:dyDescent="0.25">
      <c r="A4" s="3"/>
      <c r="B4" s="3"/>
      <c r="C4" s="3"/>
      <c r="D4" s="3"/>
      <c r="E4" s="3"/>
      <c r="F4" s="3"/>
      <c r="G4" s="3"/>
      <c r="H4" s="3"/>
      <c r="I4" s="3"/>
      <c r="J4" s="3"/>
      <c r="K4" s="3"/>
    </row>
    <row r="5" spans="1:13" ht="15" customHeight="1" x14ac:dyDescent="0.25">
      <c r="A5" s="2" t="s">
        <v>3</v>
      </c>
      <c r="B5" s="4" t="str">
        <f>FONTE&amp;ONERA</f>
        <v>SINAPI PI-06/2021, SEINFRA 27, ORSE-06/2021, SEM DESONERAÇÃO</v>
      </c>
      <c r="C5" s="2"/>
      <c r="D5" s="2"/>
      <c r="E5" s="2"/>
      <c r="G5" s="3"/>
      <c r="H5" s="2" t="s">
        <v>5</v>
      </c>
      <c r="I5" s="5">
        <f>LEI</f>
        <v>112.14999999999999</v>
      </c>
      <c r="J5" s="2" t="s">
        <v>6</v>
      </c>
      <c r="K5" s="5">
        <f>BDI</f>
        <v>20.8</v>
      </c>
    </row>
    <row r="6" spans="1:13" ht="15" customHeight="1" x14ac:dyDescent="0.25">
      <c r="A6" s="10" t="s">
        <v>295</v>
      </c>
      <c r="B6" s="10" t="s">
        <v>31</v>
      </c>
      <c r="C6" s="82" t="s">
        <v>7</v>
      </c>
      <c r="D6" s="83"/>
      <c r="E6" s="83"/>
      <c r="F6" s="83"/>
      <c r="G6" s="6" t="s">
        <v>32</v>
      </c>
      <c r="H6" s="6" t="s">
        <v>296</v>
      </c>
      <c r="I6" s="6" t="s">
        <v>297</v>
      </c>
      <c r="J6" s="57" t="s">
        <v>9</v>
      </c>
      <c r="K6" s="58"/>
    </row>
    <row r="7" spans="1:13" ht="30" customHeight="1" x14ac:dyDescent="0.25">
      <c r="A7" s="6" t="s">
        <v>502</v>
      </c>
      <c r="B7" s="28">
        <v>90777</v>
      </c>
      <c r="C7" s="91" t="str">
        <f>VLOOKUP(B7,S!$A:$D,2,FALSE)</f>
        <v>ENGENHEIRO CIVIL DE OBRA JUNIOR COM ENCARGOS COMPLEMENTARES</v>
      </c>
      <c r="D7" s="91"/>
      <c r="E7" s="91"/>
      <c r="F7" s="92"/>
      <c r="G7" s="6" t="str">
        <f>VLOOKUP(B7,S!$A:$D,3,FALSE)</f>
        <v>H</v>
      </c>
      <c r="H7" s="21"/>
      <c r="I7" s="21">
        <f>J14</f>
        <v>92.27</v>
      </c>
      <c r="J7" s="76"/>
      <c r="K7" s="72"/>
      <c r="L7" s="21">
        <f>VLOOKUP(B7,S!$A:$D,4,FALSE)</f>
        <v>92.27</v>
      </c>
      <c r="M7" s="6" t="str">
        <f>IF(ROUND((L7-I7),2)=0,"OK, confere com a tabela.",IF(ROUND((L7-I7),2)&lt;0,"ACIMA ("&amp;TEXT(ROUND(I7*100/L7,4),"0,0000")&amp;" %) da tabela.","ABAIXO ("&amp;TEXT(ROUND(I7*100/L7,4),"0,0000")&amp;" %) da tabela."))</f>
        <v>OK, confere com a tabela.</v>
      </c>
    </row>
    <row r="8" spans="1:13" ht="15" customHeight="1" x14ac:dyDescent="0.25">
      <c r="A8" s="16" t="s">
        <v>306</v>
      </c>
      <c r="B8" s="20">
        <v>2706</v>
      </c>
      <c r="C8" s="77" t="str">
        <f>VLOOKUP(B8,IF(A8="COMPOSICAO",S!$A:$D,I!$A:$D),2,FALSE)</f>
        <v>ENGENHEIRO CIVIL DE OBRA JUNIOR</v>
      </c>
      <c r="D8" s="77"/>
      <c r="E8" s="77"/>
      <c r="F8" s="77"/>
      <c r="G8" s="16" t="str">
        <f>VLOOKUP(B8,IF(A8="COMPOSICAO",S!$A:$D,I!$A:$D),3,FALSE)</f>
        <v>H</v>
      </c>
      <c r="H8" s="17">
        <v>1</v>
      </c>
      <c r="I8" s="17">
        <f>IF(A8="COMPOSICAO",VLOOKUP("TOTAL - "&amp;B8,COMPOSICAO_AUX_2!$A:$J,10,FALSE),VLOOKUP(B8,I!$A:$D,4,FALSE))</f>
        <v>90.16</v>
      </c>
      <c r="J8" s="80">
        <f t="shared" ref="J8:J13" si="0">TRUNC(H8*I8,2)</f>
        <v>90.16</v>
      </c>
      <c r="K8" s="81"/>
    </row>
    <row r="9" spans="1:13" ht="15" customHeight="1" x14ac:dyDescent="0.25">
      <c r="A9" s="16" t="s">
        <v>306</v>
      </c>
      <c r="B9" s="20">
        <v>37372</v>
      </c>
      <c r="C9" s="77" t="str">
        <f>VLOOKUP(B9,IF(A9="COMPOSICAO",S!$A:$D,I!$A:$D),2,FALSE)</f>
        <v>EXAMES - HORISTA (COLETADO CAIXA)</v>
      </c>
      <c r="D9" s="77"/>
      <c r="E9" s="77"/>
      <c r="F9" s="77"/>
      <c r="G9" s="16" t="str">
        <f>VLOOKUP(B9,IF(A9="COMPOSICAO",S!$A:$D,I!$A:$D),3,FALSE)</f>
        <v>H</v>
      </c>
      <c r="H9" s="17">
        <v>1</v>
      </c>
      <c r="I9" s="17">
        <f>IF(A9="COMPOSICAO",VLOOKUP("TOTAL - "&amp;B9,COMPOSICAO_AUX_2!$A:$J,10,FALSE),VLOOKUP(B9,I!$A:$D,4,FALSE))</f>
        <v>0.55000000000000004</v>
      </c>
      <c r="J9" s="80">
        <f t="shared" si="0"/>
        <v>0.55000000000000004</v>
      </c>
      <c r="K9" s="81"/>
    </row>
    <row r="10" spans="1:13" ht="15" customHeight="1" x14ac:dyDescent="0.25">
      <c r="A10" s="16" t="s">
        <v>306</v>
      </c>
      <c r="B10" s="20">
        <v>37373</v>
      </c>
      <c r="C10" s="77" t="str">
        <f>VLOOKUP(B10,IF(A10="COMPOSICAO",S!$A:$D,I!$A:$D),2,FALSE)</f>
        <v>SEGURO - HORISTA (COLETADO CAIXA)</v>
      </c>
      <c r="D10" s="77"/>
      <c r="E10" s="77"/>
      <c r="F10" s="77"/>
      <c r="G10" s="16" t="str">
        <f>VLOOKUP(B10,IF(A10="COMPOSICAO",S!$A:$D,I!$A:$D),3,FALSE)</f>
        <v>H</v>
      </c>
      <c r="H10" s="17">
        <v>1</v>
      </c>
      <c r="I10" s="17">
        <f>IF(A10="COMPOSICAO",VLOOKUP("TOTAL - "&amp;B10,COMPOSICAO_AUX_2!$A:$J,10,FALSE),VLOOKUP(B10,I!$A:$D,4,FALSE))</f>
        <v>0.06</v>
      </c>
      <c r="J10" s="80">
        <f t="shared" si="0"/>
        <v>0.06</v>
      </c>
      <c r="K10" s="81"/>
    </row>
    <row r="11" spans="1:13" ht="45" customHeight="1" x14ac:dyDescent="0.25">
      <c r="A11" s="16" t="s">
        <v>306</v>
      </c>
      <c r="B11" s="20">
        <v>43462</v>
      </c>
      <c r="C11" s="77" t="str">
        <f>VLOOKUP(B11,IF(A11="COMPOSICAO",S!$A:$D,I!$A:$D),2,FALSE)</f>
        <v>FERRAMENTAS - FAMILIA ENGENHEIRO CIVIL - HORISTA (ENCARGOS COMPLEMENTARES - COLETADO CAIXA)</v>
      </c>
      <c r="D11" s="77"/>
      <c r="E11" s="77"/>
      <c r="F11" s="77"/>
      <c r="G11" s="16" t="str">
        <f>VLOOKUP(B11,IF(A11="COMPOSICAO",S!$A:$D,I!$A:$D),3,FALSE)</f>
        <v>H</v>
      </c>
      <c r="H11" s="17">
        <v>1</v>
      </c>
      <c r="I11" s="17">
        <f>IF(A11="COMPOSICAO",VLOOKUP("TOTAL - "&amp;B11,COMPOSICAO_AUX_2!$A:$J,10,FALSE),VLOOKUP(B11,I!$A:$D,4,FALSE))</f>
        <v>0.01</v>
      </c>
      <c r="J11" s="80">
        <f t="shared" si="0"/>
        <v>0.01</v>
      </c>
      <c r="K11" s="81"/>
    </row>
    <row r="12" spans="1:13" ht="30" customHeight="1" x14ac:dyDescent="0.25">
      <c r="A12" s="16" t="s">
        <v>306</v>
      </c>
      <c r="B12" s="20">
        <v>43486</v>
      </c>
      <c r="C12" s="77" t="str">
        <f>VLOOKUP(B12,IF(A12="COMPOSICAO",S!$A:$D,I!$A:$D),2,FALSE)</f>
        <v>EPI - FAMILIA ENGENHEIRO CIVIL - HORISTA (ENCARGOS COMPLEMENTARES - COLETADO CAIXA)</v>
      </c>
      <c r="D12" s="77"/>
      <c r="E12" s="77"/>
      <c r="F12" s="77"/>
      <c r="G12" s="16" t="str">
        <f>VLOOKUP(B12,IF(A12="COMPOSICAO",S!$A:$D,I!$A:$D),3,FALSE)</f>
        <v>H</v>
      </c>
      <c r="H12" s="17">
        <v>1</v>
      </c>
      <c r="I12" s="17">
        <f>IF(A12="COMPOSICAO",VLOOKUP("TOTAL - "&amp;B12,COMPOSICAO_AUX_2!$A:$J,10,FALSE),VLOOKUP(B12,I!$A:$D,4,FALSE))</f>
        <v>0.55000000000000004</v>
      </c>
      <c r="J12" s="80">
        <f t="shared" si="0"/>
        <v>0.55000000000000004</v>
      </c>
      <c r="K12" s="81"/>
    </row>
    <row r="13" spans="1:13" ht="45" customHeight="1" x14ac:dyDescent="0.25">
      <c r="A13" s="16" t="s">
        <v>302</v>
      </c>
      <c r="B13" s="20">
        <v>95402</v>
      </c>
      <c r="C13" s="77" t="str">
        <f>VLOOKUP(B13,IF(A13="COMPOSICAO",S!$A:$D,I!$A:$D),2,FALSE)</f>
        <v>CURSO DE CAPACITAÇÃO PARA ENGENHEIRO CIVIL DE OBRA JÚNIOR (ENCARGOS COMPLEMENTARES) - HORISTA</v>
      </c>
      <c r="D13" s="77"/>
      <c r="E13" s="77"/>
      <c r="F13" s="77"/>
      <c r="G13" s="16" t="str">
        <f>VLOOKUP(B13,IF(A13="COMPOSICAO",S!$A:$D,I!$A:$D),3,FALSE)</f>
        <v>H</v>
      </c>
      <c r="H13" s="17">
        <v>1</v>
      </c>
      <c r="I13" s="17">
        <f>IF(A13="COMPOSICAO",VLOOKUP("TOTAL - "&amp;B13,COMPOSICAO_AUX_2!$A:$J,10,FALSE),VLOOKUP(B13,I!$A:$D,4,FALSE))</f>
        <v>0.94</v>
      </c>
      <c r="J13" s="80">
        <f t="shared" si="0"/>
        <v>0.94</v>
      </c>
      <c r="K13" s="81"/>
    </row>
    <row r="14" spans="1:13" ht="15" customHeight="1" x14ac:dyDescent="0.25">
      <c r="A14" s="23" t="s">
        <v>503</v>
      </c>
      <c r="B14" s="24"/>
      <c r="C14" s="24"/>
      <c r="D14" s="24"/>
      <c r="E14" s="24"/>
      <c r="F14" s="24"/>
      <c r="G14" s="25"/>
      <c r="H14" s="26"/>
      <c r="I14" s="27"/>
      <c r="J14" s="80">
        <f>SUM(J7:K13)</f>
        <v>92.27</v>
      </c>
      <c r="K14" s="81"/>
    </row>
    <row r="15" spans="1:13" ht="15" customHeight="1" x14ac:dyDescent="0.25">
      <c r="A15" s="3"/>
      <c r="B15" s="3"/>
      <c r="C15" s="3"/>
      <c r="D15" s="3"/>
      <c r="E15" s="3"/>
      <c r="F15" s="3"/>
      <c r="G15" s="3"/>
      <c r="H15" s="3"/>
      <c r="I15" s="3"/>
      <c r="J15" s="3"/>
      <c r="K15" s="3"/>
    </row>
    <row r="16" spans="1:13" ht="15" customHeight="1" x14ac:dyDescent="0.25">
      <c r="A16" s="10" t="s">
        <v>295</v>
      </c>
      <c r="B16" s="10" t="s">
        <v>31</v>
      </c>
      <c r="C16" s="82" t="s">
        <v>7</v>
      </c>
      <c r="D16" s="83"/>
      <c r="E16" s="83"/>
      <c r="F16" s="83"/>
      <c r="G16" s="6" t="s">
        <v>32</v>
      </c>
      <c r="H16" s="6" t="s">
        <v>296</v>
      </c>
      <c r="I16" s="6" t="s">
        <v>297</v>
      </c>
      <c r="J16" s="57" t="s">
        <v>9</v>
      </c>
      <c r="K16" s="58"/>
    </row>
    <row r="17" spans="1:13" ht="15" customHeight="1" x14ac:dyDescent="0.25">
      <c r="A17" s="6" t="s">
        <v>502</v>
      </c>
      <c r="B17" s="28">
        <v>90776</v>
      </c>
      <c r="C17" s="91" t="str">
        <f>VLOOKUP(B17,S!$A:$D,2,FALSE)</f>
        <v>ENCARREGADO GERAL COM ENCARGOS COMPLEMENTARES</v>
      </c>
      <c r="D17" s="91"/>
      <c r="E17" s="91"/>
      <c r="F17" s="92"/>
      <c r="G17" s="6" t="str">
        <f>VLOOKUP(B17,S!$A:$D,3,FALSE)</f>
        <v>H</v>
      </c>
      <c r="H17" s="21"/>
      <c r="I17" s="21">
        <f>J24</f>
        <v>25.35</v>
      </c>
      <c r="J17" s="76"/>
      <c r="K17" s="72"/>
      <c r="L17" s="21">
        <f>VLOOKUP(B17,S!$A:$D,4,FALSE)</f>
        <v>25.35</v>
      </c>
      <c r="M17" s="6" t="str">
        <f>IF(ROUND((L17-I17),2)=0,"OK, confere com a tabela.",IF(ROUND((L17-I17),2)&lt;0,"ACIMA ("&amp;TEXT(ROUND(I17*100/L17,4),"0,0000")&amp;" %) da tabela.","ABAIXO ("&amp;TEXT(ROUND(I17*100/L17,4),"0,0000")&amp;" %) da tabela."))</f>
        <v>OK, confere com a tabela.</v>
      </c>
    </row>
    <row r="18" spans="1:13" ht="15" customHeight="1" x14ac:dyDescent="0.25">
      <c r="A18" s="16" t="s">
        <v>306</v>
      </c>
      <c r="B18" s="20">
        <v>4083</v>
      </c>
      <c r="C18" s="77" t="str">
        <f>VLOOKUP(B18,IF(A18="COMPOSICAO",S!$A:$D,I!$A:$D),2,FALSE)</f>
        <v>ENCARREGADO GERAL DE OBRAS</v>
      </c>
      <c r="D18" s="77"/>
      <c r="E18" s="77"/>
      <c r="F18" s="77"/>
      <c r="G18" s="16" t="str">
        <f>VLOOKUP(B18,IF(A18="COMPOSICAO",S!$A:$D,I!$A:$D),3,FALSE)</f>
        <v>H</v>
      </c>
      <c r="H18" s="17">
        <v>1</v>
      </c>
      <c r="I18" s="17">
        <f>IF(A18="COMPOSICAO",VLOOKUP("TOTAL - "&amp;B18,COMPOSICAO_AUX_2!$A:$J,10,FALSE),VLOOKUP(B18,I!$A:$D,4,FALSE))</f>
        <v>23.37</v>
      </c>
      <c r="J18" s="80">
        <f t="shared" ref="J18:J23" si="1">TRUNC(H18*I18,2)</f>
        <v>23.37</v>
      </c>
      <c r="K18" s="81"/>
    </row>
    <row r="19" spans="1:13" ht="15" customHeight="1" x14ac:dyDescent="0.25">
      <c r="A19" s="16" t="s">
        <v>306</v>
      </c>
      <c r="B19" s="20">
        <v>37372</v>
      </c>
      <c r="C19" s="77" t="str">
        <f>VLOOKUP(B19,IF(A19="COMPOSICAO",S!$A:$D,I!$A:$D),2,FALSE)</f>
        <v>EXAMES - HORISTA (COLETADO CAIXA)</v>
      </c>
      <c r="D19" s="77"/>
      <c r="E19" s="77"/>
      <c r="F19" s="77"/>
      <c r="G19" s="16" t="str">
        <f>VLOOKUP(B19,IF(A19="COMPOSICAO",S!$A:$D,I!$A:$D),3,FALSE)</f>
        <v>H</v>
      </c>
      <c r="H19" s="17">
        <v>1</v>
      </c>
      <c r="I19" s="17">
        <f>IF(A19="COMPOSICAO",VLOOKUP("TOTAL - "&amp;B19,COMPOSICAO_AUX_2!$A:$J,10,FALSE),VLOOKUP(B19,I!$A:$D,4,FALSE))</f>
        <v>0.55000000000000004</v>
      </c>
      <c r="J19" s="80">
        <f t="shared" si="1"/>
        <v>0.55000000000000004</v>
      </c>
      <c r="K19" s="81"/>
    </row>
    <row r="20" spans="1:13" ht="15" customHeight="1" x14ac:dyDescent="0.25">
      <c r="A20" s="16" t="s">
        <v>306</v>
      </c>
      <c r="B20" s="20">
        <v>37373</v>
      </c>
      <c r="C20" s="77" t="str">
        <f>VLOOKUP(B20,IF(A20="COMPOSICAO",S!$A:$D,I!$A:$D),2,FALSE)</f>
        <v>SEGURO - HORISTA (COLETADO CAIXA)</v>
      </c>
      <c r="D20" s="77"/>
      <c r="E20" s="77"/>
      <c r="F20" s="77"/>
      <c r="G20" s="16" t="str">
        <f>VLOOKUP(B20,IF(A20="COMPOSICAO",S!$A:$D,I!$A:$D),3,FALSE)</f>
        <v>H</v>
      </c>
      <c r="H20" s="17">
        <v>1</v>
      </c>
      <c r="I20" s="17">
        <f>IF(A20="COMPOSICAO",VLOOKUP("TOTAL - "&amp;B20,COMPOSICAO_AUX_2!$A:$J,10,FALSE),VLOOKUP(B20,I!$A:$D,4,FALSE))</f>
        <v>0.06</v>
      </c>
      <c r="J20" s="80">
        <f t="shared" si="1"/>
        <v>0.06</v>
      </c>
      <c r="K20" s="81"/>
    </row>
    <row r="21" spans="1:13" ht="45" customHeight="1" x14ac:dyDescent="0.25">
      <c r="A21" s="16" t="s">
        <v>306</v>
      </c>
      <c r="B21" s="20">
        <v>43463</v>
      </c>
      <c r="C21" s="77" t="str">
        <f>VLOOKUP(B21,IF(A21="COMPOSICAO",S!$A:$D,I!$A:$D),2,FALSE)</f>
        <v>FERRAMENTAS - FAMILIA ENCARREGADO GERAL - HORISTA (ENCARGOS COMPLEMENTARES - COLETADO CAIXA)</v>
      </c>
      <c r="D21" s="77"/>
      <c r="E21" s="77"/>
      <c r="F21" s="77"/>
      <c r="G21" s="16" t="str">
        <f>VLOOKUP(B21,IF(A21="COMPOSICAO",S!$A:$D,I!$A:$D),3,FALSE)</f>
        <v>H</v>
      </c>
      <c r="H21" s="17">
        <v>1</v>
      </c>
      <c r="I21" s="17">
        <f>IF(A21="COMPOSICAO",VLOOKUP("TOTAL - "&amp;B21,COMPOSICAO_AUX_2!$A:$J,10,FALSE),VLOOKUP(B21,I!$A:$D,4,FALSE))</f>
        <v>0.08</v>
      </c>
      <c r="J21" s="80">
        <f t="shared" si="1"/>
        <v>0.08</v>
      </c>
      <c r="K21" s="81"/>
    </row>
    <row r="22" spans="1:13" ht="30" customHeight="1" x14ac:dyDescent="0.25">
      <c r="A22" s="16" t="s">
        <v>306</v>
      </c>
      <c r="B22" s="20">
        <v>43487</v>
      </c>
      <c r="C22" s="77" t="str">
        <f>VLOOKUP(B22,IF(A22="COMPOSICAO",S!$A:$D,I!$A:$D),2,FALSE)</f>
        <v>EPI - FAMILIA ENCARREGADO GERAL - HORISTA (ENCARGOS COMPLEMENTARES - COLETADO CAIXA)</v>
      </c>
      <c r="D22" s="77"/>
      <c r="E22" s="77"/>
      <c r="F22" s="77"/>
      <c r="G22" s="16" t="str">
        <f>VLOOKUP(B22,IF(A22="COMPOSICAO",S!$A:$D,I!$A:$D),3,FALSE)</f>
        <v>H</v>
      </c>
      <c r="H22" s="17">
        <v>1</v>
      </c>
      <c r="I22" s="17">
        <f>IF(A22="COMPOSICAO",VLOOKUP("TOTAL - "&amp;B22,COMPOSICAO_AUX_2!$A:$J,10,FALSE),VLOOKUP(B22,I!$A:$D,4,FALSE))</f>
        <v>0.94</v>
      </c>
      <c r="J22" s="80">
        <f t="shared" si="1"/>
        <v>0.94</v>
      </c>
      <c r="K22" s="81"/>
    </row>
    <row r="23" spans="1:13" ht="30" customHeight="1" x14ac:dyDescent="0.25">
      <c r="A23" s="16" t="s">
        <v>302</v>
      </c>
      <c r="B23" s="20">
        <v>95401</v>
      </c>
      <c r="C23" s="77" t="str">
        <f>VLOOKUP(B23,IF(A23="COMPOSICAO",S!$A:$D,I!$A:$D),2,FALSE)</f>
        <v>CURSO DE CAPACITAÇÃO PARA ENCARREGADO GERAL (ENCARGOS COMPLEMENTARES) - HORISTA</v>
      </c>
      <c r="D23" s="77"/>
      <c r="E23" s="77"/>
      <c r="F23" s="77"/>
      <c r="G23" s="16" t="str">
        <f>VLOOKUP(B23,IF(A23="COMPOSICAO",S!$A:$D,I!$A:$D),3,FALSE)</f>
        <v>H</v>
      </c>
      <c r="H23" s="17">
        <v>1</v>
      </c>
      <c r="I23" s="17">
        <f>IF(A23="COMPOSICAO",VLOOKUP("TOTAL - "&amp;B23,COMPOSICAO_AUX_2!$A:$J,10,FALSE),VLOOKUP(B23,I!$A:$D,4,FALSE))</f>
        <v>0.35</v>
      </c>
      <c r="J23" s="80">
        <f t="shared" si="1"/>
        <v>0.35</v>
      </c>
      <c r="K23" s="81"/>
    </row>
    <row r="24" spans="1:13" ht="15" customHeight="1" x14ac:dyDescent="0.25">
      <c r="A24" s="23" t="s">
        <v>504</v>
      </c>
      <c r="B24" s="24"/>
      <c r="C24" s="24"/>
      <c r="D24" s="24"/>
      <c r="E24" s="24"/>
      <c r="F24" s="24"/>
      <c r="G24" s="25"/>
      <c r="H24" s="26"/>
      <c r="I24" s="27"/>
      <c r="J24" s="80">
        <f>SUM(J17:K23)</f>
        <v>25.35</v>
      </c>
      <c r="K24" s="81"/>
    </row>
    <row r="25" spans="1:13" ht="15" customHeight="1" x14ac:dyDescent="0.25">
      <c r="A25" s="3"/>
      <c r="B25" s="3"/>
      <c r="C25" s="3"/>
      <c r="D25" s="3"/>
      <c r="E25" s="3"/>
      <c r="F25" s="3"/>
      <c r="G25" s="3"/>
      <c r="H25" s="3"/>
      <c r="I25" s="3"/>
      <c r="J25" s="3"/>
      <c r="K25" s="3"/>
    </row>
    <row r="26" spans="1:13" ht="15" customHeight="1" x14ac:dyDescent="0.25">
      <c r="A26" s="10" t="s">
        <v>295</v>
      </c>
      <c r="B26" s="10" t="s">
        <v>31</v>
      </c>
      <c r="C26" s="82" t="s">
        <v>7</v>
      </c>
      <c r="D26" s="83"/>
      <c r="E26" s="83"/>
      <c r="F26" s="83"/>
      <c r="G26" s="6" t="s">
        <v>32</v>
      </c>
      <c r="H26" s="6" t="s">
        <v>296</v>
      </c>
      <c r="I26" s="6" t="s">
        <v>297</v>
      </c>
      <c r="J26" s="57" t="s">
        <v>9</v>
      </c>
      <c r="K26" s="58"/>
    </row>
    <row r="27" spans="1:13" ht="15" customHeight="1" x14ac:dyDescent="0.25">
      <c r="A27" s="6" t="s">
        <v>502</v>
      </c>
      <c r="B27" s="28">
        <v>90780</v>
      </c>
      <c r="C27" s="91" t="str">
        <f>VLOOKUP(B27,S!$A:$D,2,FALSE)</f>
        <v>MESTRE DE OBRAS COM ENCARGOS COMPLEMENTARES</v>
      </c>
      <c r="D27" s="91"/>
      <c r="E27" s="91"/>
      <c r="F27" s="92"/>
      <c r="G27" s="6" t="str">
        <f>VLOOKUP(B27,S!$A:$D,3,FALSE)</f>
        <v>H</v>
      </c>
      <c r="H27" s="21"/>
      <c r="I27" s="21">
        <f>J34</f>
        <v>37.629999999999995</v>
      </c>
      <c r="J27" s="76"/>
      <c r="K27" s="72"/>
      <c r="L27" s="21">
        <f>VLOOKUP(B27,S!$A:$D,4,FALSE)</f>
        <v>37.630000000000003</v>
      </c>
      <c r="M27" s="6" t="str">
        <f>IF(ROUND((L27-I27),2)=0,"OK, confere com a tabela.",IF(ROUND((L27-I27),2)&lt;0,"ACIMA ("&amp;TEXT(ROUND(I27*100/L27,4),"0,0000")&amp;" %) da tabela.","ABAIXO ("&amp;TEXT(ROUND(I27*100/L27,4),"0,0000")&amp;" %) da tabela."))</f>
        <v>OK, confere com a tabela.</v>
      </c>
    </row>
    <row r="28" spans="1:13" ht="15" customHeight="1" x14ac:dyDescent="0.25">
      <c r="A28" s="16" t="s">
        <v>306</v>
      </c>
      <c r="B28" s="20">
        <v>4069</v>
      </c>
      <c r="C28" s="77" t="str">
        <f>VLOOKUP(B28,IF(A28="COMPOSICAO",S!$A:$D,I!$A:$D),2,FALSE)</f>
        <v>MESTRE DE OBRAS</v>
      </c>
      <c r="D28" s="77"/>
      <c r="E28" s="77"/>
      <c r="F28" s="77"/>
      <c r="G28" s="16" t="str">
        <f>VLOOKUP(B28,IF(A28="COMPOSICAO",S!$A:$D,I!$A:$D),3,FALSE)</f>
        <v>H</v>
      </c>
      <c r="H28" s="17">
        <v>1</v>
      </c>
      <c r="I28" s="17">
        <f>IF(A28="COMPOSICAO",VLOOKUP("TOTAL - "&amp;B28,COMPOSICAO_AUX_2!$A:$J,10,FALSE),VLOOKUP(B28,I!$A:$D,4,FALSE))</f>
        <v>35.47</v>
      </c>
      <c r="J28" s="80">
        <f t="shared" ref="J28:J33" si="2">TRUNC(H28*I28,2)</f>
        <v>35.47</v>
      </c>
      <c r="K28" s="81"/>
    </row>
    <row r="29" spans="1:13" ht="15" customHeight="1" x14ac:dyDescent="0.25">
      <c r="A29" s="16" t="s">
        <v>306</v>
      </c>
      <c r="B29" s="20">
        <v>37372</v>
      </c>
      <c r="C29" s="77" t="str">
        <f>VLOOKUP(B29,IF(A29="COMPOSICAO",S!$A:$D,I!$A:$D),2,FALSE)</f>
        <v>EXAMES - HORISTA (COLETADO CAIXA)</v>
      </c>
      <c r="D29" s="77"/>
      <c r="E29" s="77"/>
      <c r="F29" s="77"/>
      <c r="G29" s="16" t="str">
        <f>VLOOKUP(B29,IF(A29="COMPOSICAO",S!$A:$D,I!$A:$D),3,FALSE)</f>
        <v>H</v>
      </c>
      <c r="H29" s="17">
        <v>1</v>
      </c>
      <c r="I29" s="17">
        <f>IF(A29="COMPOSICAO",VLOOKUP("TOTAL - "&amp;B29,COMPOSICAO_AUX_2!$A:$J,10,FALSE),VLOOKUP(B29,I!$A:$D,4,FALSE))</f>
        <v>0.55000000000000004</v>
      </c>
      <c r="J29" s="80">
        <f t="shared" si="2"/>
        <v>0.55000000000000004</v>
      </c>
      <c r="K29" s="81"/>
    </row>
    <row r="30" spans="1:13" ht="15" customHeight="1" x14ac:dyDescent="0.25">
      <c r="A30" s="16" t="s">
        <v>306</v>
      </c>
      <c r="B30" s="20">
        <v>37373</v>
      </c>
      <c r="C30" s="77" t="str">
        <f>VLOOKUP(B30,IF(A30="COMPOSICAO",S!$A:$D,I!$A:$D),2,FALSE)</f>
        <v>SEGURO - HORISTA (COLETADO CAIXA)</v>
      </c>
      <c r="D30" s="77"/>
      <c r="E30" s="77"/>
      <c r="F30" s="77"/>
      <c r="G30" s="16" t="str">
        <f>VLOOKUP(B30,IF(A30="COMPOSICAO",S!$A:$D,I!$A:$D),3,FALSE)</f>
        <v>H</v>
      </c>
      <c r="H30" s="17">
        <v>1</v>
      </c>
      <c r="I30" s="17">
        <f>IF(A30="COMPOSICAO",VLOOKUP("TOTAL - "&amp;B30,COMPOSICAO_AUX_2!$A:$J,10,FALSE),VLOOKUP(B30,I!$A:$D,4,FALSE))</f>
        <v>0.06</v>
      </c>
      <c r="J30" s="80">
        <f t="shared" si="2"/>
        <v>0.06</v>
      </c>
      <c r="K30" s="81"/>
    </row>
    <row r="31" spans="1:13" ht="45" customHeight="1" x14ac:dyDescent="0.25">
      <c r="A31" s="16" t="s">
        <v>306</v>
      </c>
      <c r="B31" s="20">
        <v>43463</v>
      </c>
      <c r="C31" s="77" t="str">
        <f>VLOOKUP(B31,IF(A31="COMPOSICAO",S!$A:$D,I!$A:$D),2,FALSE)</f>
        <v>FERRAMENTAS - FAMILIA ENCARREGADO GERAL - HORISTA (ENCARGOS COMPLEMENTARES - COLETADO CAIXA)</v>
      </c>
      <c r="D31" s="77"/>
      <c r="E31" s="77"/>
      <c r="F31" s="77"/>
      <c r="G31" s="16" t="str">
        <f>VLOOKUP(B31,IF(A31="COMPOSICAO",S!$A:$D,I!$A:$D),3,FALSE)</f>
        <v>H</v>
      </c>
      <c r="H31" s="17">
        <v>1</v>
      </c>
      <c r="I31" s="17">
        <f>IF(A31="COMPOSICAO",VLOOKUP("TOTAL - "&amp;B31,COMPOSICAO_AUX_2!$A:$J,10,FALSE),VLOOKUP(B31,I!$A:$D,4,FALSE))</f>
        <v>0.08</v>
      </c>
      <c r="J31" s="80">
        <f t="shared" si="2"/>
        <v>0.08</v>
      </c>
      <c r="K31" s="81"/>
    </row>
    <row r="32" spans="1:13" ht="30" customHeight="1" x14ac:dyDescent="0.25">
      <c r="A32" s="16" t="s">
        <v>306</v>
      </c>
      <c r="B32" s="20">
        <v>43487</v>
      </c>
      <c r="C32" s="77" t="str">
        <f>VLOOKUP(B32,IF(A32="COMPOSICAO",S!$A:$D,I!$A:$D),2,FALSE)</f>
        <v>EPI - FAMILIA ENCARREGADO GERAL - HORISTA (ENCARGOS COMPLEMENTARES - COLETADO CAIXA)</v>
      </c>
      <c r="D32" s="77"/>
      <c r="E32" s="77"/>
      <c r="F32" s="77"/>
      <c r="G32" s="16" t="str">
        <f>VLOOKUP(B32,IF(A32="COMPOSICAO",S!$A:$D,I!$A:$D),3,FALSE)</f>
        <v>H</v>
      </c>
      <c r="H32" s="17">
        <v>1</v>
      </c>
      <c r="I32" s="17">
        <f>IF(A32="COMPOSICAO",VLOOKUP("TOTAL - "&amp;B32,COMPOSICAO_AUX_2!$A:$J,10,FALSE),VLOOKUP(B32,I!$A:$D,4,FALSE))</f>
        <v>0.94</v>
      </c>
      <c r="J32" s="80">
        <f t="shared" si="2"/>
        <v>0.94</v>
      </c>
      <c r="K32" s="81"/>
    </row>
    <row r="33" spans="1:13" ht="30" customHeight="1" x14ac:dyDescent="0.25">
      <c r="A33" s="16" t="s">
        <v>302</v>
      </c>
      <c r="B33" s="20">
        <v>95405</v>
      </c>
      <c r="C33" s="77" t="str">
        <f>VLOOKUP(B33,IF(A33="COMPOSICAO",S!$A:$D,I!$A:$D),2,FALSE)</f>
        <v>CURSO DE CAPACITAÇÃO PARA MESTRE DE OBRAS (ENCARGOS COMPLEMENTARES) - HORISTA</v>
      </c>
      <c r="D33" s="77"/>
      <c r="E33" s="77"/>
      <c r="F33" s="77"/>
      <c r="G33" s="16" t="str">
        <f>VLOOKUP(B33,IF(A33="COMPOSICAO",S!$A:$D,I!$A:$D),3,FALSE)</f>
        <v>H</v>
      </c>
      <c r="H33" s="17">
        <v>1</v>
      </c>
      <c r="I33" s="17">
        <f>IF(A33="COMPOSICAO",VLOOKUP("TOTAL - "&amp;B33,COMPOSICAO_AUX_2!$A:$J,10,FALSE),VLOOKUP(B33,I!$A:$D,4,FALSE))</f>
        <v>0.53</v>
      </c>
      <c r="J33" s="80">
        <f t="shared" si="2"/>
        <v>0.53</v>
      </c>
      <c r="K33" s="81"/>
    </row>
    <row r="34" spans="1:13" ht="15" customHeight="1" x14ac:dyDescent="0.25">
      <c r="A34" s="23" t="s">
        <v>505</v>
      </c>
      <c r="B34" s="24"/>
      <c r="C34" s="24"/>
      <c r="D34" s="24"/>
      <c r="E34" s="24"/>
      <c r="F34" s="24"/>
      <c r="G34" s="25"/>
      <c r="H34" s="26"/>
      <c r="I34" s="27"/>
      <c r="J34" s="80">
        <f>SUM(J27:K33)</f>
        <v>37.629999999999995</v>
      </c>
      <c r="K34" s="81"/>
    </row>
    <row r="35" spans="1:13" ht="15" customHeight="1" x14ac:dyDescent="0.25">
      <c r="A35" s="3"/>
      <c r="B35" s="3"/>
      <c r="C35" s="3"/>
      <c r="D35" s="3"/>
      <c r="E35" s="3"/>
      <c r="F35" s="3"/>
      <c r="G35" s="3"/>
      <c r="H35" s="3"/>
      <c r="I35" s="3"/>
      <c r="J35" s="3"/>
      <c r="K35" s="3"/>
    </row>
    <row r="36" spans="1:13" ht="15" customHeight="1" x14ac:dyDescent="0.25">
      <c r="A36" s="10" t="s">
        <v>295</v>
      </c>
      <c r="B36" s="10" t="s">
        <v>31</v>
      </c>
      <c r="C36" s="82" t="s">
        <v>7</v>
      </c>
      <c r="D36" s="83"/>
      <c r="E36" s="83"/>
      <c r="F36" s="83"/>
      <c r="G36" s="6" t="s">
        <v>32</v>
      </c>
      <c r="H36" s="6" t="s">
        <v>296</v>
      </c>
      <c r="I36" s="6" t="s">
        <v>297</v>
      </c>
      <c r="J36" s="57" t="s">
        <v>9</v>
      </c>
      <c r="K36" s="58"/>
    </row>
    <row r="37" spans="1:13" ht="60" customHeight="1" x14ac:dyDescent="0.25">
      <c r="A37" s="6" t="s">
        <v>363</v>
      </c>
      <c r="B37" s="28">
        <v>94962</v>
      </c>
      <c r="C37" s="91" t="str">
        <f>VLOOKUP(B37,S!$A:$D,2,FALSE)</f>
        <v>CONCRETO MAGRO PARA LASTRO, TRAÇO 1:4,5:4,5 (EM MASSA SECA DE CIMENTO/ AREIA MÉDIA/ BRITA 1) - PREPARO MECÂNICO COM BETONEIRA 400 L. AF_05/2021</v>
      </c>
      <c r="D37" s="91"/>
      <c r="E37" s="91"/>
      <c r="F37" s="92"/>
      <c r="G37" s="6" t="str">
        <f>VLOOKUP(B37,S!$A:$D,3,FALSE)</f>
        <v>M3</v>
      </c>
      <c r="H37" s="21"/>
      <c r="I37" s="21">
        <f>J45</f>
        <v>313.14</v>
      </c>
      <c r="J37" s="76"/>
      <c r="K37" s="72"/>
      <c r="L37" s="21">
        <f>VLOOKUP(B37,S!$A:$D,4,FALSE)</f>
        <v>313.14</v>
      </c>
      <c r="M37" s="6" t="str">
        <f>IF(ROUND((L37-I37),2)=0,"OK, confere com a tabela.",IF(ROUND((L37-I37),2)&lt;0,"ACIMA ("&amp;TEXT(ROUND(I37*100/L37,4),"0,0000")&amp;" %) da tabela.","ABAIXO ("&amp;TEXT(ROUND(I37*100/L37,4),"0,0000")&amp;" %) da tabela."))</f>
        <v>OK, confere com a tabela.</v>
      </c>
    </row>
    <row r="38" spans="1:13" ht="30" customHeight="1" x14ac:dyDescent="0.25">
      <c r="A38" s="16" t="s">
        <v>306</v>
      </c>
      <c r="B38" s="20">
        <v>370</v>
      </c>
      <c r="C38" s="77" t="str">
        <f>VLOOKUP(B38,IF(A38="COMPOSICAO",S!$A:$D,I!$A:$D),2,FALSE)</f>
        <v>AREIA MEDIA - POSTO JAZIDA/FORNECEDOR (RETIRADO NA JAZIDA, SEM TRANSPORTE)</v>
      </c>
      <c r="D38" s="77"/>
      <c r="E38" s="77"/>
      <c r="F38" s="77"/>
      <c r="G38" s="16" t="str">
        <f>VLOOKUP(B38,IF(A38="COMPOSICAO",S!$A:$D,I!$A:$D),3,FALSE)</f>
        <v>M3</v>
      </c>
      <c r="H38" s="29">
        <v>0.82689999999999997</v>
      </c>
      <c r="I38" s="17">
        <f>IF(A38="COMPOSICAO",VLOOKUP("TOTAL - "&amp;B38,COMPOSICAO_AUX_2!$A:$J,10,FALSE),VLOOKUP(B38,I!$A:$D,4,FALSE))</f>
        <v>54</v>
      </c>
      <c r="J38" s="80">
        <f t="shared" ref="J38:J44" si="3">TRUNC(H38*I38,2)</f>
        <v>44.65</v>
      </c>
      <c r="K38" s="81"/>
    </row>
    <row r="39" spans="1:13" ht="15" customHeight="1" x14ac:dyDescent="0.25">
      <c r="A39" s="16" t="s">
        <v>306</v>
      </c>
      <c r="B39" s="20">
        <v>1379</v>
      </c>
      <c r="C39" s="77" t="str">
        <f>VLOOKUP(B39,IF(A39="COMPOSICAO",S!$A:$D,I!$A:$D),2,FALSE)</f>
        <v>CIMENTO PORTLAND COMPOSTO CP II-32</v>
      </c>
      <c r="D39" s="77"/>
      <c r="E39" s="77"/>
      <c r="F39" s="77"/>
      <c r="G39" s="16" t="str">
        <f>VLOOKUP(B39,IF(A39="COMPOSICAO",S!$A:$D,I!$A:$D),3,FALSE)</f>
        <v>KG</v>
      </c>
      <c r="H39" s="29">
        <v>212.01939999999999</v>
      </c>
      <c r="I39" s="17">
        <f>IF(A39="COMPOSICAO",VLOOKUP("TOTAL - "&amp;B39,COMPOSICAO_AUX_2!$A:$J,10,FALSE),VLOOKUP(B39,I!$A:$D,4,FALSE))</f>
        <v>0.7</v>
      </c>
      <c r="J39" s="80">
        <f t="shared" si="3"/>
        <v>148.41</v>
      </c>
      <c r="K39" s="81"/>
    </row>
    <row r="40" spans="1:13" ht="30" customHeight="1" x14ac:dyDescent="0.25">
      <c r="A40" s="16" t="s">
        <v>306</v>
      </c>
      <c r="B40" s="20">
        <v>4721</v>
      </c>
      <c r="C40" s="77" t="str">
        <f>VLOOKUP(B40,IF(A40="COMPOSICAO",S!$A:$D,I!$A:$D),2,FALSE)</f>
        <v>PEDRA BRITADA N. 1 (9,5 a 19 MM) POSTO PEDREIRA/FORNECEDOR, SEM FRETE</v>
      </c>
      <c r="D40" s="77"/>
      <c r="E40" s="77"/>
      <c r="F40" s="77"/>
      <c r="G40" s="16" t="str">
        <f>VLOOKUP(B40,IF(A40="COMPOSICAO",S!$A:$D,I!$A:$D),3,FALSE)</f>
        <v>M3</v>
      </c>
      <c r="H40" s="29">
        <v>0.57820000000000005</v>
      </c>
      <c r="I40" s="17">
        <f>IF(A40="COMPOSICAO",VLOOKUP("TOTAL - "&amp;B40,COMPOSICAO_AUX_2!$A:$J,10,FALSE),VLOOKUP(B40,I!$A:$D,4,FALSE))</f>
        <v>92.01</v>
      </c>
      <c r="J40" s="80">
        <f t="shared" si="3"/>
        <v>53.2</v>
      </c>
      <c r="K40" s="81"/>
    </row>
    <row r="41" spans="1:13" ht="15" customHeight="1" x14ac:dyDescent="0.25">
      <c r="A41" s="16" t="s">
        <v>302</v>
      </c>
      <c r="B41" s="20">
        <v>88316</v>
      </c>
      <c r="C41" s="77" t="str">
        <f>VLOOKUP(B41,IF(A41="COMPOSICAO",S!$A:$D,I!$A:$D),2,FALSE)</f>
        <v>SERVENTE COM ENCARGOS COMPLEMENTARES</v>
      </c>
      <c r="D41" s="77"/>
      <c r="E41" s="77"/>
      <c r="F41" s="77"/>
      <c r="G41" s="16" t="str">
        <f>VLOOKUP(B41,IF(A41="COMPOSICAO",S!$A:$D,I!$A:$D),3,FALSE)</f>
        <v>H</v>
      </c>
      <c r="H41" s="29">
        <v>2.3433000000000002</v>
      </c>
      <c r="I41" s="17">
        <f>IF(A41="COMPOSICAO",VLOOKUP("TOTAL - "&amp;B41,COMPOSICAO_AUX_2!$A:$J,10,FALSE),VLOOKUP(B41,I!$A:$D,4,FALSE))</f>
        <v>15.35</v>
      </c>
      <c r="J41" s="80">
        <f t="shared" si="3"/>
        <v>35.96</v>
      </c>
      <c r="K41" s="81"/>
    </row>
    <row r="42" spans="1:13" ht="30" customHeight="1" x14ac:dyDescent="0.25">
      <c r="A42" s="16" t="s">
        <v>302</v>
      </c>
      <c r="B42" s="20">
        <v>88377</v>
      </c>
      <c r="C42" s="77" t="str">
        <f>VLOOKUP(B42,IF(A42="COMPOSICAO",S!$A:$D,I!$A:$D),2,FALSE)</f>
        <v>OPERADOR DE BETONEIRA ESTACIONÁRIA/MISTURADOR COM ENCARGOS COMPLEMENTARES</v>
      </c>
      <c r="D42" s="77"/>
      <c r="E42" s="77"/>
      <c r="F42" s="77"/>
      <c r="G42" s="16" t="str">
        <f>VLOOKUP(B42,IF(A42="COMPOSICAO",S!$A:$D,I!$A:$D),3,FALSE)</f>
        <v>H</v>
      </c>
      <c r="H42" s="29">
        <v>1.4811000000000001</v>
      </c>
      <c r="I42" s="17">
        <f>IF(A42="COMPOSICAO",VLOOKUP("TOTAL - "&amp;B42,COMPOSICAO_AUX_2!$A:$J,10,FALSE),VLOOKUP(B42,I!$A:$D,4,FALSE))</f>
        <v>19.810000000000002</v>
      </c>
      <c r="J42" s="80">
        <f t="shared" si="3"/>
        <v>29.34</v>
      </c>
      <c r="K42" s="81"/>
    </row>
    <row r="43" spans="1:13" ht="60" customHeight="1" x14ac:dyDescent="0.25">
      <c r="A43" s="16" t="s">
        <v>302</v>
      </c>
      <c r="B43" s="20">
        <v>88830</v>
      </c>
      <c r="C43" s="77" t="str">
        <f>VLOOKUP(B43,IF(A43="COMPOSICAO",S!$A:$D,I!$A:$D),2,FALSE)</f>
        <v>BETONEIRA CAPACIDADE NOMINAL DE 400 L, CAPACIDADE DE MISTURA 280 L, MOTOR ELÉTRICO TRIFÁSICO POTÊNCIA DE 2 CV, SEM CARREGADOR - CHP DIURNO. AF_10/2014</v>
      </c>
      <c r="D43" s="77"/>
      <c r="E43" s="77"/>
      <c r="F43" s="77"/>
      <c r="G43" s="16" t="str">
        <f>VLOOKUP(B43,IF(A43="COMPOSICAO",S!$A:$D,I!$A:$D),3,FALSE)</f>
        <v>CHP</v>
      </c>
      <c r="H43" s="29">
        <v>0.76229999999999998</v>
      </c>
      <c r="I43" s="17">
        <f>IF(A43="COMPOSICAO",VLOOKUP("TOTAL - "&amp;B43,COMPOSICAO_AUX_2!$A:$J,10,FALSE),VLOOKUP(B43,I!$A:$D,4,FALSE))</f>
        <v>1.7</v>
      </c>
      <c r="J43" s="80">
        <f t="shared" si="3"/>
        <v>1.29</v>
      </c>
      <c r="K43" s="81"/>
    </row>
    <row r="44" spans="1:13" ht="60" customHeight="1" x14ac:dyDescent="0.25">
      <c r="A44" s="16" t="s">
        <v>302</v>
      </c>
      <c r="B44" s="20">
        <v>88831</v>
      </c>
      <c r="C44" s="77" t="str">
        <f>VLOOKUP(B44,IF(A44="COMPOSICAO",S!$A:$D,I!$A:$D),2,FALSE)</f>
        <v>BETONEIRA CAPACIDADE NOMINAL DE 400 L, CAPACIDADE DE MISTURA 280 L, MOTOR ELÉTRICO TRIFÁSICO POTÊNCIA DE 2 CV, SEM CARREGADOR - CHI DIURNO. AF_10/2014</v>
      </c>
      <c r="D44" s="77"/>
      <c r="E44" s="77"/>
      <c r="F44" s="77"/>
      <c r="G44" s="16" t="str">
        <f>VLOOKUP(B44,IF(A44="COMPOSICAO",S!$A:$D,I!$A:$D),3,FALSE)</f>
        <v>CHI</v>
      </c>
      <c r="H44" s="29">
        <v>0.71879999999999999</v>
      </c>
      <c r="I44" s="17">
        <f>IF(A44="COMPOSICAO",VLOOKUP("TOTAL - "&amp;B44,COMPOSICAO_AUX_2!$A:$J,10,FALSE),VLOOKUP(B44,I!$A:$D,4,FALSE))</f>
        <v>0.41</v>
      </c>
      <c r="J44" s="80">
        <f t="shared" si="3"/>
        <v>0.28999999999999998</v>
      </c>
      <c r="K44" s="81"/>
    </row>
    <row r="45" spans="1:13" ht="15" customHeight="1" x14ac:dyDescent="0.25">
      <c r="A45" s="23" t="s">
        <v>506</v>
      </c>
      <c r="B45" s="24"/>
      <c r="C45" s="24"/>
      <c r="D45" s="24"/>
      <c r="E45" s="24"/>
      <c r="F45" s="24"/>
      <c r="G45" s="25"/>
      <c r="H45" s="26"/>
      <c r="I45" s="27"/>
      <c r="J45" s="80">
        <f>SUM(J37:K44)</f>
        <v>313.14</v>
      </c>
      <c r="K45" s="81"/>
    </row>
    <row r="46" spans="1:13" ht="15" customHeight="1" x14ac:dyDescent="0.25">
      <c r="A46" s="3"/>
      <c r="B46" s="3"/>
      <c r="C46" s="3"/>
      <c r="D46" s="3"/>
      <c r="E46" s="3"/>
      <c r="F46" s="3"/>
      <c r="G46" s="3"/>
      <c r="H46" s="3"/>
      <c r="I46" s="3"/>
      <c r="J46" s="3"/>
      <c r="K46" s="3"/>
    </row>
    <row r="47" spans="1:13" ht="15" customHeight="1" x14ac:dyDescent="0.25">
      <c r="A47" s="10" t="s">
        <v>295</v>
      </c>
      <c r="B47" s="10" t="s">
        <v>31</v>
      </c>
      <c r="C47" s="82" t="s">
        <v>7</v>
      </c>
      <c r="D47" s="83"/>
      <c r="E47" s="83"/>
      <c r="F47" s="83"/>
      <c r="G47" s="6" t="s">
        <v>32</v>
      </c>
      <c r="H47" s="6" t="s">
        <v>296</v>
      </c>
      <c r="I47" s="6" t="s">
        <v>297</v>
      </c>
      <c r="J47" s="57" t="s">
        <v>9</v>
      </c>
      <c r="K47" s="58"/>
    </row>
    <row r="48" spans="1:13" ht="30" customHeight="1" x14ac:dyDescent="0.25">
      <c r="A48" s="6" t="s">
        <v>502</v>
      </c>
      <c r="B48" s="28">
        <v>88262</v>
      </c>
      <c r="C48" s="91" t="str">
        <f>VLOOKUP(B48,S!$A:$D,2,FALSE)</f>
        <v>CARPINTEIRO DE FORMAS COM ENCARGOS COMPLEMENTARES</v>
      </c>
      <c r="D48" s="91"/>
      <c r="E48" s="91"/>
      <c r="F48" s="92"/>
      <c r="G48" s="6" t="str">
        <f>VLOOKUP(B48,S!$A:$D,3,FALSE)</f>
        <v>H</v>
      </c>
      <c r="H48" s="21"/>
      <c r="I48" s="21">
        <f>J57</f>
        <v>19.649999999999999</v>
      </c>
      <c r="J48" s="76"/>
      <c r="K48" s="72"/>
      <c r="L48" s="21">
        <f>VLOOKUP(B48,S!$A:$D,4,FALSE)</f>
        <v>19.649999999999999</v>
      </c>
      <c r="M48" s="6" t="str">
        <f>IF(ROUND((L48-I48),2)=0,"OK, confere com a tabela.",IF(ROUND((L48-I48),2)&lt;0,"ACIMA ("&amp;TEXT(ROUND(I48*100/L48,4),"0,0000")&amp;" %) da tabela.","ABAIXO ("&amp;TEXT(ROUND(I48*100/L48,4),"0,0000")&amp;" %) da tabela."))</f>
        <v>OK, confere com a tabela.</v>
      </c>
    </row>
    <row r="49" spans="1:13" ht="15" customHeight="1" x14ac:dyDescent="0.25">
      <c r="A49" s="16" t="s">
        <v>306</v>
      </c>
      <c r="B49" s="20">
        <v>1213</v>
      </c>
      <c r="C49" s="77" t="str">
        <f>VLOOKUP(B49,IF(A49="COMPOSICAO",S!$A:$D,I!$A:$D),2,FALSE)</f>
        <v>CARPINTEIRO DE FORMAS</v>
      </c>
      <c r="D49" s="77"/>
      <c r="E49" s="77"/>
      <c r="F49" s="77"/>
      <c r="G49" s="16" t="str">
        <f>VLOOKUP(B49,IF(A49="COMPOSICAO",S!$A:$D,I!$A:$D),3,FALSE)</f>
        <v>H</v>
      </c>
      <c r="H49" s="17">
        <v>1</v>
      </c>
      <c r="I49" s="17">
        <f>IF(A49="COMPOSICAO",VLOOKUP("TOTAL - "&amp;B49,COMPOSICAO_AUX_2!$A:$J,10,FALSE),VLOOKUP(B49,I!$A:$D,4,FALSE))</f>
        <v>14.93</v>
      </c>
      <c r="J49" s="80">
        <f t="shared" ref="J49:J56" si="4">TRUNC(H49*I49,2)</f>
        <v>14.93</v>
      </c>
      <c r="K49" s="81"/>
    </row>
    <row r="50" spans="1:13" ht="15" customHeight="1" x14ac:dyDescent="0.25">
      <c r="A50" s="16" t="s">
        <v>306</v>
      </c>
      <c r="B50" s="20">
        <v>37370</v>
      </c>
      <c r="C50" s="77" t="str">
        <f>VLOOKUP(B50,IF(A50="COMPOSICAO",S!$A:$D,I!$A:$D),2,FALSE)</f>
        <v>ALIMENTACAO - HORISTA (COLETADO CAIXA)</v>
      </c>
      <c r="D50" s="77"/>
      <c r="E50" s="77"/>
      <c r="F50" s="77"/>
      <c r="G50" s="16" t="str">
        <f>VLOOKUP(B50,IF(A50="COMPOSICAO",S!$A:$D,I!$A:$D),3,FALSE)</f>
        <v>H</v>
      </c>
      <c r="H50" s="17">
        <v>1</v>
      </c>
      <c r="I50" s="17">
        <f>IF(A50="COMPOSICAO",VLOOKUP("TOTAL - "&amp;B50,COMPOSICAO_AUX_2!$A:$J,10,FALSE),VLOOKUP(B50,I!$A:$D,4,FALSE))</f>
        <v>1.86</v>
      </c>
      <c r="J50" s="80">
        <f t="shared" si="4"/>
        <v>1.86</v>
      </c>
      <c r="K50" s="81"/>
    </row>
    <row r="51" spans="1:13" ht="15" customHeight="1" x14ac:dyDescent="0.25">
      <c r="A51" s="16" t="s">
        <v>306</v>
      </c>
      <c r="B51" s="20">
        <v>37371</v>
      </c>
      <c r="C51" s="77" t="str">
        <f>VLOOKUP(B51,IF(A51="COMPOSICAO",S!$A:$D,I!$A:$D),2,FALSE)</f>
        <v>TRANSPORTE - HORISTA (COLETADO CAIXA)</v>
      </c>
      <c r="D51" s="77"/>
      <c r="E51" s="77"/>
      <c r="F51" s="77"/>
      <c r="G51" s="16" t="str">
        <f>VLOOKUP(B51,IF(A51="COMPOSICAO",S!$A:$D,I!$A:$D),3,FALSE)</f>
        <v>H</v>
      </c>
      <c r="H51" s="17">
        <v>1</v>
      </c>
      <c r="I51" s="17">
        <f>IF(A51="COMPOSICAO",VLOOKUP("TOTAL - "&amp;B51,COMPOSICAO_AUX_2!$A:$J,10,FALSE),VLOOKUP(B51,I!$A:$D,4,FALSE))</f>
        <v>0.7</v>
      </c>
      <c r="J51" s="80">
        <f t="shared" si="4"/>
        <v>0.7</v>
      </c>
      <c r="K51" s="81"/>
    </row>
    <row r="52" spans="1:13" ht="15" customHeight="1" x14ac:dyDescent="0.25">
      <c r="A52" s="16" t="s">
        <v>306</v>
      </c>
      <c r="B52" s="20">
        <v>37372</v>
      </c>
      <c r="C52" s="77" t="str">
        <f>VLOOKUP(B52,IF(A52="COMPOSICAO",S!$A:$D,I!$A:$D),2,FALSE)</f>
        <v>EXAMES - HORISTA (COLETADO CAIXA)</v>
      </c>
      <c r="D52" s="77"/>
      <c r="E52" s="77"/>
      <c r="F52" s="77"/>
      <c r="G52" s="16" t="str">
        <f>VLOOKUP(B52,IF(A52="COMPOSICAO",S!$A:$D,I!$A:$D),3,FALSE)</f>
        <v>H</v>
      </c>
      <c r="H52" s="17">
        <v>1</v>
      </c>
      <c r="I52" s="17">
        <f>IF(A52="COMPOSICAO",VLOOKUP("TOTAL - "&amp;B52,COMPOSICAO_AUX_2!$A:$J,10,FALSE),VLOOKUP(B52,I!$A:$D,4,FALSE))</f>
        <v>0.55000000000000004</v>
      </c>
      <c r="J52" s="80">
        <f t="shared" si="4"/>
        <v>0.55000000000000004</v>
      </c>
      <c r="K52" s="81"/>
    </row>
    <row r="53" spans="1:13" ht="15" customHeight="1" x14ac:dyDescent="0.25">
      <c r="A53" s="16" t="s">
        <v>306</v>
      </c>
      <c r="B53" s="20">
        <v>37373</v>
      </c>
      <c r="C53" s="77" t="str">
        <f>VLOOKUP(B53,IF(A53="COMPOSICAO",S!$A:$D,I!$A:$D),2,FALSE)</f>
        <v>SEGURO - HORISTA (COLETADO CAIXA)</v>
      </c>
      <c r="D53" s="77"/>
      <c r="E53" s="77"/>
      <c r="F53" s="77"/>
      <c r="G53" s="16" t="str">
        <f>VLOOKUP(B53,IF(A53="COMPOSICAO",S!$A:$D,I!$A:$D),3,FALSE)</f>
        <v>H</v>
      </c>
      <c r="H53" s="17">
        <v>1</v>
      </c>
      <c r="I53" s="17">
        <f>IF(A53="COMPOSICAO",VLOOKUP("TOTAL - "&amp;B53,COMPOSICAO_AUX_2!$A:$J,10,FALSE),VLOOKUP(B53,I!$A:$D,4,FALSE))</f>
        <v>0.06</v>
      </c>
      <c r="J53" s="80">
        <f t="shared" si="4"/>
        <v>0.06</v>
      </c>
      <c r="K53" s="81"/>
    </row>
    <row r="54" spans="1:13" ht="45" customHeight="1" x14ac:dyDescent="0.25">
      <c r="A54" s="16" t="s">
        <v>306</v>
      </c>
      <c r="B54" s="20">
        <v>43459</v>
      </c>
      <c r="C54" s="77" t="str">
        <f>VLOOKUP(B54,IF(A54="COMPOSICAO",S!$A:$D,I!$A:$D),2,FALSE)</f>
        <v>FERRAMENTAS - FAMILIA CARPINTEIRO DE FORMAS - HORISTA (ENCARGOS COMPLEMENTARES - COLETADO CAIXA)</v>
      </c>
      <c r="D54" s="77"/>
      <c r="E54" s="77"/>
      <c r="F54" s="77"/>
      <c r="G54" s="16" t="str">
        <f>VLOOKUP(B54,IF(A54="COMPOSICAO",S!$A:$D,I!$A:$D),3,FALSE)</f>
        <v>H</v>
      </c>
      <c r="H54" s="17">
        <v>1</v>
      </c>
      <c r="I54" s="17">
        <f>IF(A54="COMPOSICAO",VLOOKUP("TOTAL - "&amp;B54,COMPOSICAO_AUX_2!$A:$J,10,FALSE),VLOOKUP(B54,I!$A:$D,4,FALSE))</f>
        <v>0.38</v>
      </c>
      <c r="J54" s="80">
        <f t="shared" si="4"/>
        <v>0.38</v>
      </c>
      <c r="K54" s="81"/>
    </row>
    <row r="55" spans="1:13" ht="30" customHeight="1" x14ac:dyDescent="0.25">
      <c r="A55" s="16" t="s">
        <v>306</v>
      </c>
      <c r="B55" s="20">
        <v>43483</v>
      </c>
      <c r="C55" s="77" t="str">
        <f>VLOOKUP(B55,IF(A55="COMPOSICAO",S!$A:$D,I!$A:$D),2,FALSE)</f>
        <v>EPI - FAMILIA CARPINTEIRO DE FORMAS - HORISTA (ENCARGOS COMPLEMENTARES - COLETADO CAIXA)</v>
      </c>
      <c r="D55" s="77"/>
      <c r="E55" s="77"/>
      <c r="F55" s="77"/>
      <c r="G55" s="16" t="str">
        <f>VLOOKUP(B55,IF(A55="COMPOSICAO",S!$A:$D,I!$A:$D),3,FALSE)</f>
        <v>H</v>
      </c>
      <c r="H55" s="17">
        <v>1</v>
      </c>
      <c r="I55" s="17">
        <f>IF(A55="COMPOSICAO",VLOOKUP("TOTAL - "&amp;B55,COMPOSICAO_AUX_2!$A:$J,10,FALSE),VLOOKUP(B55,I!$A:$D,4,FALSE))</f>
        <v>1.05</v>
      </c>
      <c r="J55" s="80">
        <f t="shared" si="4"/>
        <v>1.05</v>
      </c>
      <c r="K55" s="81"/>
    </row>
    <row r="56" spans="1:13" ht="30" customHeight="1" x14ac:dyDescent="0.25">
      <c r="A56" s="16" t="s">
        <v>302</v>
      </c>
      <c r="B56" s="20">
        <v>95330</v>
      </c>
      <c r="C56" s="77" t="str">
        <f>VLOOKUP(B56,IF(A56="COMPOSICAO",S!$A:$D,I!$A:$D),2,FALSE)</f>
        <v>CURSO DE CAPACITAÇÃO PARA CARPINTEIRO DE FÔRMAS (ENCARGOS COMPLEMENTARES) - HORISTA</v>
      </c>
      <c r="D56" s="77"/>
      <c r="E56" s="77"/>
      <c r="F56" s="77"/>
      <c r="G56" s="16" t="str">
        <f>VLOOKUP(B56,IF(A56="COMPOSICAO",S!$A:$D,I!$A:$D),3,FALSE)</f>
        <v>H</v>
      </c>
      <c r="H56" s="17">
        <v>1</v>
      </c>
      <c r="I56" s="17">
        <f>IF(A56="COMPOSICAO",VLOOKUP("TOTAL - "&amp;B56,COMPOSICAO_AUX_2!$A:$J,10,FALSE),VLOOKUP(B56,I!$A:$D,4,FALSE))</f>
        <v>0.12</v>
      </c>
      <c r="J56" s="80">
        <f t="shared" si="4"/>
        <v>0.12</v>
      </c>
      <c r="K56" s="81"/>
    </row>
    <row r="57" spans="1:13" ht="15" customHeight="1" x14ac:dyDescent="0.25">
      <c r="A57" s="23" t="s">
        <v>507</v>
      </c>
      <c r="B57" s="24"/>
      <c r="C57" s="24"/>
      <c r="D57" s="24"/>
      <c r="E57" s="24"/>
      <c r="F57" s="24"/>
      <c r="G57" s="25"/>
      <c r="H57" s="26"/>
      <c r="I57" s="27"/>
      <c r="J57" s="80">
        <f>SUM(J48:K56)</f>
        <v>19.649999999999999</v>
      </c>
      <c r="K57" s="81"/>
    </row>
    <row r="58" spans="1:13" ht="15" customHeight="1" x14ac:dyDescent="0.25">
      <c r="A58" s="3"/>
      <c r="B58" s="3"/>
      <c r="C58" s="3"/>
      <c r="D58" s="3"/>
      <c r="E58" s="3"/>
      <c r="F58" s="3"/>
      <c r="G58" s="3"/>
      <c r="H58" s="3"/>
      <c r="I58" s="3"/>
      <c r="J58" s="3"/>
      <c r="K58" s="3"/>
    </row>
    <row r="59" spans="1:13" ht="15" customHeight="1" x14ac:dyDescent="0.25">
      <c r="A59" s="10" t="s">
        <v>295</v>
      </c>
      <c r="B59" s="10" t="s">
        <v>31</v>
      </c>
      <c r="C59" s="82" t="s">
        <v>7</v>
      </c>
      <c r="D59" s="83"/>
      <c r="E59" s="83"/>
      <c r="F59" s="83"/>
      <c r="G59" s="6" t="s">
        <v>32</v>
      </c>
      <c r="H59" s="6" t="s">
        <v>296</v>
      </c>
      <c r="I59" s="6" t="s">
        <v>297</v>
      </c>
      <c r="J59" s="57" t="s">
        <v>9</v>
      </c>
      <c r="K59" s="58"/>
    </row>
    <row r="60" spans="1:13" ht="15" customHeight="1" x14ac:dyDescent="0.25">
      <c r="A60" s="6" t="s">
        <v>502</v>
      </c>
      <c r="B60" s="28">
        <v>88316</v>
      </c>
      <c r="C60" s="91" t="str">
        <f>VLOOKUP(B60,S!$A:$D,2,FALSE)</f>
        <v>SERVENTE COM ENCARGOS COMPLEMENTARES</v>
      </c>
      <c r="D60" s="91"/>
      <c r="E60" s="91"/>
      <c r="F60" s="92"/>
      <c r="G60" s="6" t="str">
        <f>VLOOKUP(B60,S!$A:$D,3,FALSE)</f>
        <v>H</v>
      </c>
      <c r="H60" s="21"/>
      <c r="I60" s="21">
        <f>J69</f>
        <v>15.35</v>
      </c>
      <c r="J60" s="76"/>
      <c r="K60" s="72"/>
      <c r="L60" s="21">
        <f>VLOOKUP(B60,S!$A:$D,4,FALSE)</f>
        <v>15.35</v>
      </c>
      <c r="M60" s="6" t="str">
        <f>IF(ROUND((L60-I60),2)=0,"OK, confere com a tabela.",IF(ROUND((L60-I60),2)&lt;0,"ACIMA ("&amp;TEXT(ROUND(I60*100/L60,4),"0,0000")&amp;" %) da tabela.","ABAIXO ("&amp;TEXT(ROUND(I60*100/L60,4),"0,0000")&amp;" %) da tabela."))</f>
        <v>OK, confere com a tabela.</v>
      </c>
    </row>
    <row r="61" spans="1:13" ht="15" customHeight="1" x14ac:dyDescent="0.25">
      <c r="A61" s="16" t="s">
        <v>306</v>
      </c>
      <c r="B61" s="20">
        <v>6111</v>
      </c>
      <c r="C61" s="77" t="str">
        <f>VLOOKUP(B61,IF(A61="COMPOSICAO",S!$A:$D,I!$A:$D),2,FALSE)</f>
        <v>SERVENTE DE OBRAS</v>
      </c>
      <c r="D61" s="77"/>
      <c r="E61" s="77"/>
      <c r="F61" s="77"/>
      <c r="G61" s="16" t="str">
        <f>VLOOKUP(B61,IF(A61="COMPOSICAO",S!$A:$D,I!$A:$D),3,FALSE)</f>
        <v>H</v>
      </c>
      <c r="H61" s="17">
        <v>1</v>
      </c>
      <c r="I61" s="17">
        <f>IF(A61="COMPOSICAO",VLOOKUP("TOTAL - "&amp;B61,COMPOSICAO_AUX_2!$A:$J,10,FALSE),VLOOKUP(B61,I!$A:$D,4,FALSE))</f>
        <v>10.6</v>
      </c>
      <c r="J61" s="80">
        <f t="shared" ref="J61:J68" si="5">TRUNC(H61*I61,2)</f>
        <v>10.6</v>
      </c>
      <c r="K61" s="81"/>
    </row>
    <row r="62" spans="1:13" ht="15" customHeight="1" x14ac:dyDescent="0.25">
      <c r="A62" s="16" t="s">
        <v>306</v>
      </c>
      <c r="B62" s="20">
        <v>37370</v>
      </c>
      <c r="C62" s="77" t="str">
        <f>VLOOKUP(B62,IF(A62="COMPOSICAO",S!$A:$D,I!$A:$D),2,FALSE)</f>
        <v>ALIMENTACAO - HORISTA (COLETADO CAIXA)</v>
      </c>
      <c r="D62" s="77"/>
      <c r="E62" s="77"/>
      <c r="F62" s="77"/>
      <c r="G62" s="16" t="str">
        <f>VLOOKUP(B62,IF(A62="COMPOSICAO",S!$A:$D,I!$A:$D),3,FALSE)</f>
        <v>H</v>
      </c>
      <c r="H62" s="17">
        <v>1</v>
      </c>
      <c r="I62" s="17">
        <f>IF(A62="COMPOSICAO",VLOOKUP("TOTAL - "&amp;B62,COMPOSICAO_AUX_2!$A:$J,10,FALSE),VLOOKUP(B62,I!$A:$D,4,FALSE))</f>
        <v>1.86</v>
      </c>
      <c r="J62" s="80">
        <f t="shared" si="5"/>
        <v>1.86</v>
      </c>
      <c r="K62" s="81"/>
    </row>
    <row r="63" spans="1:13" ht="15" customHeight="1" x14ac:dyDescent="0.25">
      <c r="A63" s="16" t="s">
        <v>306</v>
      </c>
      <c r="B63" s="20">
        <v>37371</v>
      </c>
      <c r="C63" s="77" t="str">
        <f>VLOOKUP(B63,IF(A63="COMPOSICAO",S!$A:$D,I!$A:$D),2,FALSE)</f>
        <v>TRANSPORTE - HORISTA (COLETADO CAIXA)</v>
      </c>
      <c r="D63" s="77"/>
      <c r="E63" s="77"/>
      <c r="F63" s="77"/>
      <c r="G63" s="16" t="str">
        <f>VLOOKUP(B63,IF(A63="COMPOSICAO",S!$A:$D,I!$A:$D),3,FALSE)</f>
        <v>H</v>
      </c>
      <c r="H63" s="17">
        <v>1</v>
      </c>
      <c r="I63" s="17">
        <f>IF(A63="COMPOSICAO",VLOOKUP("TOTAL - "&amp;B63,COMPOSICAO_AUX_2!$A:$J,10,FALSE),VLOOKUP(B63,I!$A:$D,4,FALSE))</f>
        <v>0.7</v>
      </c>
      <c r="J63" s="80">
        <f t="shared" si="5"/>
        <v>0.7</v>
      </c>
      <c r="K63" s="81"/>
    </row>
    <row r="64" spans="1:13" ht="15" customHeight="1" x14ac:dyDescent="0.25">
      <c r="A64" s="16" t="s">
        <v>306</v>
      </c>
      <c r="B64" s="20">
        <v>37372</v>
      </c>
      <c r="C64" s="77" t="str">
        <f>VLOOKUP(B64,IF(A64="COMPOSICAO",S!$A:$D,I!$A:$D),2,FALSE)</f>
        <v>EXAMES - HORISTA (COLETADO CAIXA)</v>
      </c>
      <c r="D64" s="77"/>
      <c r="E64" s="77"/>
      <c r="F64" s="77"/>
      <c r="G64" s="16" t="str">
        <f>VLOOKUP(B64,IF(A64="COMPOSICAO",S!$A:$D,I!$A:$D),3,FALSE)</f>
        <v>H</v>
      </c>
      <c r="H64" s="17">
        <v>1</v>
      </c>
      <c r="I64" s="17">
        <f>IF(A64="COMPOSICAO",VLOOKUP("TOTAL - "&amp;B64,COMPOSICAO_AUX_2!$A:$J,10,FALSE),VLOOKUP(B64,I!$A:$D,4,FALSE))</f>
        <v>0.55000000000000004</v>
      </c>
      <c r="J64" s="80">
        <f t="shared" si="5"/>
        <v>0.55000000000000004</v>
      </c>
      <c r="K64" s="81"/>
    </row>
    <row r="65" spans="1:13" ht="15" customHeight="1" x14ac:dyDescent="0.25">
      <c r="A65" s="16" t="s">
        <v>306</v>
      </c>
      <c r="B65" s="20">
        <v>37373</v>
      </c>
      <c r="C65" s="77" t="str">
        <f>VLOOKUP(B65,IF(A65="COMPOSICAO",S!$A:$D,I!$A:$D),2,FALSE)</f>
        <v>SEGURO - HORISTA (COLETADO CAIXA)</v>
      </c>
      <c r="D65" s="77"/>
      <c r="E65" s="77"/>
      <c r="F65" s="77"/>
      <c r="G65" s="16" t="str">
        <f>VLOOKUP(B65,IF(A65="COMPOSICAO",S!$A:$D,I!$A:$D),3,FALSE)</f>
        <v>H</v>
      </c>
      <c r="H65" s="17">
        <v>1</v>
      </c>
      <c r="I65" s="17">
        <f>IF(A65="COMPOSICAO",VLOOKUP("TOTAL - "&amp;B65,COMPOSICAO_AUX_2!$A:$J,10,FALSE),VLOOKUP(B65,I!$A:$D,4,FALSE))</f>
        <v>0.06</v>
      </c>
      <c r="J65" s="80">
        <f t="shared" si="5"/>
        <v>0.06</v>
      </c>
      <c r="K65" s="81"/>
    </row>
    <row r="66" spans="1:13" ht="30" customHeight="1" x14ac:dyDescent="0.25">
      <c r="A66" s="16" t="s">
        <v>306</v>
      </c>
      <c r="B66" s="20">
        <v>43467</v>
      </c>
      <c r="C66" s="77" t="str">
        <f>VLOOKUP(B66,IF(A66="COMPOSICAO",S!$A:$D,I!$A:$D),2,FALSE)</f>
        <v>FERRAMENTAS - FAMILIA SERVENTE - HORISTA (ENCARGOS COMPLEMENTARES - COLETADO CAIXA)</v>
      </c>
      <c r="D66" s="77"/>
      <c r="E66" s="77"/>
      <c r="F66" s="77"/>
      <c r="G66" s="16" t="str">
        <f>VLOOKUP(B66,IF(A66="COMPOSICAO",S!$A:$D,I!$A:$D),3,FALSE)</f>
        <v>H</v>
      </c>
      <c r="H66" s="17">
        <v>1</v>
      </c>
      <c r="I66" s="17">
        <f>IF(A66="COMPOSICAO",VLOOKUP("TOTAL - "&amp;B66,COMPOSICAO_AUX_2!$A:$J,10,FALSE),VLOOKUP(B66,I!$A:$D,4,FALSE))</f>
        <v>0.41</v>
      </c>
      <c r="J66" s="80">
        <f t="shared" si="5"/>
        <v>0.41</v>
      </c>
      <c r="K66" s="81"/>
    </row>
    <row r="67" spans="1:13" ht="30" customHeight="1" x14ac:dyDescent="0.25">
      <c r="A67" s="16" t="s">
        <v>306</v>
      </c>
      <c r="B67" s="20">
        <v>43491</v>
      </c>
      <c r="C67" s="77" t="str">
        <f>VLOOKUP(B67,IF(A67="COMPOSICAO",S!$A:$D,I!$A:$D),2,FALSE)</f>
        <v>EPI - FAMILIA SERVENTE - HORISTA (ENCARGOS COMPLEMENTARES - COLETADO CAIXA)</v>
      </c>
      <c r="D67" s="77"/>
      <c r="E67" s="77"/>
      <c r="F67" s="77"/>
      <c r="G67" s="16" t="str">
        <f>VLOOKUP(B67,IF(A67="COMPOSICAO",S!$A:$D,I!$A:$D),3,FALSE)</f>
        <v>H</v>
      </c>
      <c r="H67" s="17">
        <v>1</v>
      </c>
      <c r="I67" s="17">
        <f>IF(A67="COMPOSICAO",VLOOKUP("TOTAL - "&amp;B67,COMPOSICAO_AUX_2!$A:$J,10,FALSE),VLOOKUP(B67,I!$A:$D,4,FALSE))</f>
        <v>1.01</v>
      </c>
      <c r="J67" s="80">
        <f t="shared" si="5"/>
        <v>1.01</v>
      </c>
      <c r="K67" s="81"/>
    </row>
    <row r="68" spans="1:13" ht="30" customHeight="1" x14ac:dyDescent="0.25">
      <c r="A68" s="16" t="s">
        <v>302</v>
      </c>
      <c r="B68" s="20">
        <v>95378</v>
      </c>
      <c r="C68" s="77" t="str">
        <f>VLOOKUP(B68,IF(A68="COMPOSICAO",S!$A:$D,I!$A:$D),2,FALSE)</f>
        <v>CURSO DE CAPACITAÇÃO PARA SERVENTE (ENCARGOS COMPLEMENTARES) - HORISTA</v>
      </c>
      <c r="D68" s="77"/>
      <c r="E68" s="77"/>
      <c r="F68" s="77"/>
      <c r="G68" s="16" t="str">
        <f>VLOOKUP(B68,IF(A68="COMPOSICAO",S!$A:$D,I!$A:$D),3,FALSE)</f>
        <v>H</v>
      </c>
      <c r="H68" s="17">
        <v>1</v>
      </c>
      <c r="I68" s="17">
        <f>IF(A68="COMPOSICAO",VLOOKUP("TOTAL - "&amp;B68,COMPOSICAO_AUX_2!$A:$J,10,FALSE),VLOOKUP(B68,I!$A:$D,4,FALSE))</f>
        <v>0.16</v>
      </c>
      <c r="J68" s="80">
        <f t="shared" si="5"/>
        <v>0.16</v>
      </c>
      <c r="K68" s="81"/>
    </row>
    <row r="69" spans="1:13" ht="15" customHeight="1" x14ac:dyDescent="0.25">
      <c r="A69" s="23" t="s">
        <v>508</v>
      </c>
      <c r="B69" s="24"/>
      <c r="C69" s="24"/>
      <c r="D69" s="24"/>
      <c r="E69" s="24"/>
      <c r="F69" s="24"/>
      <c r="G69" s="25"/>
      <c r="H69" s="26"/>
      <c r="I69" s="27"/>
      <c r="J69" s="80">
        <f>SUM(J60:K68)</f>
        <v>15.35</v>
      </c>
      <c r="K69" s="81"/>
    </row>
    <row r="70" spans="1:13" ht="15" customHeight="1" x14ac:dyDescent="0.25">
      <c r="A70" s="3"/>
      <c r="B70" s="3"/>
      <c r="C70" s="3"/>
      <c r="D70" s="3"/>
      <c r="E70" s="3"/>
      <c r="F70" s="3"/>
      <c r="G70" s="3"/>
      <c r="H70" s="3"/>
      <c r="I70" s="3"/>
      <c r="J70" s="3"/>
      <c r="K70" s="3"/>
    </row>
    <row r="71" spans="1:13" ht="15" customHeight="1" x14ac:dyDescent="0.25">
      <c r="A71" s="10" t="s">
        <v>295</v>
      </c>
      <c r="B71" s="10" t="s">
        <v>31</v>
      </c>
      <c r="C71" s="82" t="s">
        <v>7</v>
      </c>
      <c r="D71" s="83"/>
      <c r="E71" s="83"/>
      <c r="F71" s="83"/>
      <c r="G71" s="6" t="s">
        <v>32</v>
      </c>
      <c r="H71" s="6" t="s">
        <v>296</v>
      </c>
      <c r="I71" s="6" t="s">
        <v>297</v>
      </c>
      <c r="J71" s="57" t="s">
        <v>9</v>
      </c>
      <c r="K71" s="58"/>
    </row>
    <row r="72" spans="1:13" ht="15" customHeight="1" x14ac:dyDescent="0.25">
      <c r="A72" s="6" t="s">
        <v>11</v>
      </c>
      <c r="B72" s="6" t="s">
        <v>315</v>
      </c>
      <c r="C72" s="91" t="str">
        <f>VLOOKUP(B72,S!$A:$D,2,FALSE)</f>
        <v>COLETA E CARGA MANUAIS DE ENTULHO</v>
      </c>
      <c r="D72" s="91"/>
      <c r="E72" s="91"/>
      <c r="F72" s="92"/>
      <c r="G72" s="6" t="str">
        <f>VLOOKUP(B72,S!$A:$D,3,FALSE)</f>
        <v>M3</v>
      </c>
      <c r="H72" s="21"/>
      <c r="I72" s="21">
        <f>J75</f>
        <v>13.51</v>
      </c>
      <c r="J72" s="76"/>
      <c r="K72" s="72"/>
      <c r="L72" s="21">
        <f>VLOOKUP(B72,S!$A:$D,4,FALSE)</f>
        <v>13.53</v>
      </c>
      <c r="M72" s="6" t="str">
        <f>IF(ROUND((L72-I72),2)=0,"OK, confere com a tabela.",IF(ROUND((L72-I72),2)&lt;0,"ACIMA ("&amp;TEXT(ROUND(I72*100/L72,4),"0,0000")&amp;" %) da tabela.","ABAIXO ("&amp;TEXT(ROUND(I72*100/L72,4),"0,0000")&amp;" %) da tabela."))</f>
        <v>ABAIXO (99,8522 %) da tabela.</v>
      </c>
    </row>
    <row r="73" spans="1:13" ht="15" customHeight="1" x14ac:dyDescent="0.25">
      <c r="A73" s="16" t="s">
        <v>306</v>
      </c>
      <c r="B73" s="20">
        <v>6111</v>
      </c>
      <c r="C73" s="77" t="str">
        <f>VLOOKUP(B73,IF(A73="COMPOSICAO",S!$A:$D,I!$A:$D),2,FALSE)</f>
        <v>SERVENTE DE OBRAS</v>
      </c>
      <c r="D73" s="77"/>
      <c r="E73" s="77"/>
      <c r="F73" s="77"/>
      <c r="G73" s="16" t="str">
        <f>VLOOKUP(B73,IF(A73="COMPOSICAO",S!$A:$D,I!$A:$D),3,FALSE)</f>
        <v>H</v>
      </c>
      <c r="H73" s="17">
        <v>1</v>
      </c>
      <c r="I73" s="17">
        <f>IF(A73="COMPOSICAO",VLOOKUP("TOTAL - "&amp;B73,COMPOSICAO_AUX_2!$A:$J,10,FALSE),VLOOKUP(B73,I!$A:$D,4,FALSE))</f>
        <v>10.6</v>
      </c>
      <c r="J73" s="80">
        <f>TRUNC(H73*I73,2)</f>
        <v>10.6</v>
      </c>
      <c r="K73" s="81"/>
    </row>
    <row r="74" spans="1:13" ht="15" customHeight="1" x14ac:dyDescent="0.25">
      <c r="A74" s="16" t="s">
        <v>302</v>
      </c>
      <c r="B74" s="16" t="s">
        <v>319</v>
      </c>
      <c r="C74" s="77" t="str">
        <f>VLOOKUP(B74,IF(A74="COMPOSICAO",S!$A:$D,I!$A:$D),2,FALSE)</f>
        <v>ENCARGOS COMPLEMENTARES - SERVENTE</v>
      </c>
      <c r="D74" s="77"/>
      <c r="E74" s="77"/>
      <c r="F74" s="77"/>
      <c r="G74" s="16" t="str">
        <f>VLOOKUP(B74,IF(A74="COMPOSICAO",S!$A:$D,I!$A:$D),3,FALSE)</f>
        <v>H</v>
      </c>
      <c r="H74" s="17">
        <v>1</v>
      </c>
      <c r="I74" s="17">
        <f>IF(A74="COMPOSICAO",VLOOKUP("TOTAL - "&amp;B74,COMPOSICAO_AUX_2!$A:$J,10,FALSE),VLOOKUP(B74,I!$A:$D,4,FALSE))</f>
        <v>2.9100000000000006</v>
      </c>
      <c r="J74" s="80">
        <f>TRUNC(H74*I74,2)</f>
        <v>2.91</v>
      </c>
      <c r="K74" s="81"/>
    </row>
    <row r="75" spans="1:13" ht="15" customHeight="1" x14ac:dyDescent="0.25">
      <c r="A75" s="23" t="s">
        <v>509</v>
      </c>
      <c r="B75" s="24"/>
      <c r="C75" s="24"/>
      <c r="D75" s="24"/>
      <c r="E75" s="24"/>
      <c r="F75" s="24"/>
      <c r="G75" s="25"/>
      <c r="H75" s="26"/>
      <c r="I75" s="27"/>
      <c r="J75" s="80">
        <f>SUM(J72:K74)</f>
        <v>13.51</v>
      </c>
      <c r="K75" s="81"/>
    </row>
    <row r="76" spans="1:13" ht="15" customHeight="1" x14ac:dyDescent="0.25">
      <c r="A76" s="3"/>
      <c r="B76" s="3"/>
      <c r="C76" s="3"/>
      <c r="D76" s="3"/>
      <c r="E76" s="3"/>
      <c r="F76" s="3"/>
      <c r="G76" s="3"/>
      <c r="H76" s="3"/>
      <c r="I76" s="3"/>
      <c r="J76" s="3"/>
      <c r="K76" s="3"/>
    </row>
    <row r="77" spans="1:13" ht="15" customHeight="1" x14ac:dyDescent="0.25">
      <c r="A77" s="10" t="s">
        <v>295</v>
      </c>
      <c r="B77" s="10" t="s">
        <v>31</v>
      </c>
      <c r="C77" s="82" t="s">
        <v>7</v>
      </c>
      <c r="D77" s="83"/>
      <c r="E77" s="83"/>
      <c r="F77" s="83"/>
      <c r="G77" s="6" t="s">
        <v>32</v>
      </c>
      <c r="H77" s="6" t="s">
        <v>296</v>
      </c>
      <c r="I77" s="6" t="s">
        <v>297</v>
      </c>
      <c r="J77" s="57" t="s">
        <v>9</v>
      </c>
      <c r="K77" s="58"/>
    </row>
    <row r="78" spans="1:13" ht="30" customHeight="1" x14ac:dyDescent="0.25">
      <c r="A78" s="6" t="s">
        <v>11</v>
      </c>
      <c r="B78" s="6" t="s">
        <v>316</v>
      </c>
      <c r="C78" s="91" t="str">
        <f>VLOOKUP(B78,S!$A:$D,2,FALSE)</f>
        <v>REATERRO MANUAL DE VALAS COM ESPALHAMENTO S/ COMPACTAÇÃO</v>
      </c>
      <c r="D78" s="91"/>
      <c r="E78" s="91"/>
      <c r="F78" s="92"/>
      <c r="G78" s="6" t="str">
        <f>VLOOKUP(B78,S!$A:$D,3,FALSE)</f>
        <v>M3</v>
      </c>
      <c r="H78" s="21"/>
      <c r="I78" s="21">
        <f>J81</f>
        <v>13.51</v>
      </c>
      <c r="J78" s="76"/>
      <c r="K78" s="72"/>
      <c r="L78" s="21">
        <f>VLOOKUP(B78,S!$A:$D,4,FALSE)</f>
        <v>13.53</v>
      </c>
      <c r="M78" s="6" t="str">
        <f>IF(ROUND((L78-I78),2)=0,"OK, confere com a tabela.",IF(ROUND((L78-I78),2)&lt;0,"ACIMA ("&amp;TEXT(ROUND(I78*100/L78,4),"0,0000")&amp;" %) da tabela.","ABAIXO ("&amp;TEXT(ROUND(I78*100/L78,4),"0,0000")&amp;" %) da tabela."))</f>
        <v>ABAIXO (99,8522 %) da tabela.</v>
      </c>
    </row>
    <row r="79" spans="1:13" ht="15" customHeight="1" x14ac:dyDescent="0.25">
      <c r="A79" s="16" t="s">
        <v>306</v>
      </c>
      <c r="B79" s="20">
        <v>6111</v>
      </c>
      <c r="C79" s="77" t="str">
        <f>VLOOKUP(B79,IF(A79="COMPOSICAO",S!$A:$D,I!$A:$D),2,FALSE)</f>
        <v>SERVENTE DE OBRAS</v>
      </c>
      <c r="D79" s="77"/>
      <c r="E79" s="77"/>
      <c r="F79" s="77"/>
      <c r="G79" s="16" t="str">
        <f>VLOOKUP(B79,IF(A79="COMPOSICAO",S!$A:$D,I!$A:$D),3,FALSE)</f>
        <v>H</v>
      </c>
      <c r="H79" s="17">
        <v>1</v>
      </c>
      <c r="I79" s="17">
        <f>IF(A79="COMPOSICAO",VLOOKUP("TOTAL - "&amp;B79,COMPOSICAO_AUX_2!$A:$J,10,FALSE),VLOOKUP(B79,I!$A:$D,4,FALSE))</f>
        <v>10.6</v>
      </c>
      <c r="J79" s="80">
        <f>TRUNC(H79*I79,2)</f>
        <v>10.6</v>
      </c>
      <c r="K79" s="81"/>
    </row>
    <row r="80" spans="1:13" ht="15" customHeight="1" x14ac:dyDescent="0.25">
      <c r="A80" s="16" t="s">
        <v>302</v>
      </c>
      <c r="B80" s="16" t="s">
        <v>319</v>
      </c>
      <c r="C80" s="77" t="str">
        <f>VLOOKUP(B80,IF(A80="COMPOSICAO",S!$A:$D,I!$A:$D),2,FALSE)</f>
        <v>ENCARGOS COMPLEMENTARES - SERVENTE</v>
      </c>
      <c r="D80" s="77"/>
      <c r="E80" s="77"/>
      <c r="F80" s="77"/>
      <c r="G80" s="16" t="str">
        <f>VLOOKUP(B80,IF(A80="COMPOSICAO",S!$A:$D,I!$A:$D),3,FALSE)</f>
        <v>H</v>
      </c>
      <c r="H80" s="17">
        <v>1</v>
      </c>
      <c r="I80" s="17">
        <f>IF(A80="COMPOSICAO",VLOOKUP("TOTAL - "&amp;B80,COMPOSICAO_AUX_2!$A:$J,10,FALSE),VLOOKUP(B80,I!$A:$D,4,FALSE))</f>
        <v>2.9100000000000006</v>
      </c>
      <c r="J80" s="80">
        <f>TRUNC(H80*I80,2)</f>
        <v>2.91</v>
      </c>
      <c r="K80" s="81"/>
    </row>
    <row r="81" spans="1:13" ht="15" customHeight="1" x14ac:dyDescent="0.25">
      <c r="A81" s="23" t="s">
        <v>510</v>
      </c>
      <c r="B81" s="24"/>
      <c r="C81" s="24"/>
      <c r="D81" s="24"/>
      <c r="E81" s="24"/>
      <c r="F81" s="24"/>
      <c r="G81" s="25"/>
      <c r="H81" s="26"/>
      <c r="I81" s="27"/>
      <c r="J81" s="80">
        <f>SUM(J78:K80)</f>
        <v>13.51</v>
      </c>
      <c r="K81" s="81"/>
    </row>
    <row r="82" spans="1:13" ht="15" customHeight="1" x14ac:dyDescent="0.25">
      <c r="A82" s="3"/>
      <c r="B82" s="3"/>
      <c r="C82" s="3"/>
      <c r="D82" s="3"/>
      <c r="E82" s="3"/>
      <c r="F82" s="3"/>
      <c r="G82" s="3"/>
      <c r="H82" s="3"/>
      <c r="I82" s="3"/>
      <c r="J82" s="3"/>
      <c r="K82" s="3"/>
    </row>
    <row r="83" spans="1:13" ht="15" customHeight="1" x14ac:dyDescent="0.25">
      <c r="A83" s="10" t="s">
        <v>295</v>
      </c>
      <c r="B83" s="10" t="s">
        <v>31</v>
      </c>
      <c r="C83" s="82" t="s">
        <v>7</v>
      </c>
      <c r="D83" s="83"/>
      <c r="E83" s="83"/>
      <c r="F83" s="83"/>
      <c r="G83" s="6" t="s">
        <v>32</v>
      </c>
      <c r="H83" s="6" t="s">
        <v>296</v>
      </c>
      <c r="I83" s="6" t="s">
        <v>297</v>
      </c>
      <c r="J83" s="57" t="s">
        <v>9</v>
      </c>
      <c r="K83" s="58"/>
    </row>
    <row r="84" spans="1:13" ht="30" customHeight="1" x14ac:dyDescent="0.25">
      <c r="A84" s="6" t="s">
        <v>11</v>
      </c>
      <c r="B84" s="6" t="s">
        <v>317</v>
      </c>
      <c r="C84" s="91" t="str">
        <f>VLOOKUP(B84,S!$A:$D,2,FALSE)</f>
        <v>ESCAVAÇÃO MANUAL DE VALA OU CAVA EM MATERIAL DE 1ª CATEGORIA, PROFUNDIDADE ATÉ 1,50M</v>
      </c>
      <c r="D84" s="91"/>
      <c r="E84" s="91"/>
      <c r="F84" s="92"/>
      <c r="G84" s="6" t="str">
        <f>VLOOKUP(B84,S!$A:$D,3,FALSE)</f>
        <v>M3</v>
      </c>
      <c r="H84" s="21"/>
      <c r="I84" s="21">
        <f>J87</f>
        <v>40.53</v>
      </c>
      <c r="J84" s="76"/>
      <c r="K84" s="72"/>
      <c r="L84" s="21">
        <f>VLOOKUP(B84,S!$A:$D,4,FALSE)</f>
        <v>40.590000000000003</v>
      </c>
      <c r="M84" s="6" t="str">
        <f>IF(ROUND((L84-I84),2)=0,"OK, confere com a tabela.",IF(ROUND((L84-I84),2)&lt;0,"ACIMA ("&amp;TEXT(ROUND(I84*100/L84,4),"0,0000")&amp;" %) da tabela.","ABAIXO ("&amp;TEXT(ROUND(I84*100/L84,4),"0,0000")&amp;" %) da tabela."))</f>
        <v>ABAIXO (99,8522 %) da tabela.</v>
      </c>
    </row>
    <row r="85" spans="1:13" ht="15" customHeight="1" x14ac:dyDescent="0.25">
      <c r="A85" s="16" t="s">
        <v>306</v>
      </c>
      <c r="B85" s="20">
        <v>6111</v>
      </c>
      <c r="C85" s="77" t="str">
        <f>VLOOKUP(B85,IF(A85="COMPOSICAO",S!$A:$D,I!$A:$D),2,FALSE)</f>
        <v>SERVENTE DE OBRAS</v>
      </c>
      <c r="D85" s="77"/>
      <c r="E85" s="77"/>
      <c r="F85" s="77"/>
      <c r="G85" s="16" t="str">
        <f>VLOOKUP(B85,IF(A85="COMPOSICAO",S!$A:$D,I!$A:$D),3,FALSE)</f>
        <v>H</v>
      </c>
      <c r="H85" s="17">
        <v>3</v>
      </c>
      <c r="I85" s="17">
        <f>IF(A85="COMPOSICAO",VLOOKUP("TOTAL - "&amp;B85,COMPOSICAO_AUX_2!$A:$J,10,FALSE),VLOOKUP(B85,I!$A:$D,4,FALSE))</f>
        <v>10.6</v>
      </c>
      <c r="J85" s="80">
        <f>TRUNC(H85*I85,2)</f>
        <v>31.8</v>
      </c>
      <c r="K85" s="81"/>
    </row>
    <row r="86" spans="1:13" ht="15" customHeight="1" x14ac:dyDescent="0.25">
      <c r="A86" s="16" t="s">
        <v>302</v>
      </c>
      <c r="B86" s="16" t="s">
        <v>319</v>
      </c>
      <c r="C86" s="77" t="str">
        <f>VLOOKUP(B86,IF(A86="COMPOSICAO",S!$A:$D,I!$A:$D),2,FALSE)</f>
        <v>ENCARGOS COMPLEMENTARES - SERVENTE</v>
      </c>
      <c r="D86" s="77"/>
      <c r="E86" s="77"/>
      <c r="F86" s="77"/>
      <c r="G86" s="16" t="str">
        <f>VLOOKUP(B86,IF(A86="COMPOSICAO",S!$A:$D,I!$A:$D),3,FALSE)</f>
        <v>H</v>
      </c>
      <c r="H86" s="17">
        <v>3</v>
      </c>
      <c r="I86" s="17">
        <f>IF(A86="COMPOSICAO",VLOOKUP("TOTAL - "&amp;B86,COMPOSICAO_AUX_2!$A:$J,10,FALSE),VLOOKUP(B86,I!$A:$D,4,FALSE))</f>
        <v>2.9100000000000006</v>
      </c>
      <c r="J86" s="80">
        <f>TRUNC(H86*I86,2)</f>
        <v>8.73</v>
      </c>
      <c r="K86" s="81"/>
    </row>
    <row r="87" spans="1:13" ht="15" customHeight="1" x14ac:dyDescent="0.25">
      <c r="A87" s="23" t="s">
        <v>511</v>
      </c>
      <c r="B87" s="24"/>
      <c r="C87" s="24"/>
      <c r="D87" s="24"/>
      <c r="E87" s="24"/>
      <c r="F87" s="24"/>
      <c r="G87" s="25"/>
      <c r="H87" s="26"/>
      <c r="I87" s="27"/>
      <c r="J87" s="80">
        <f>SUM(J84:K86)</f>
        <v>40.53</v>
      </c>
      <c r="K87" s="81"/>
    </row>
    <row r="88" spans="1:13" ht="15" customHeight="1" x14ac:dyDescent="0.25">
      <c r="A88" s="3"/>
      <c r="B88" s="3"/>
      <c r="C88" s="3"/>
      <c r="D88" s="3"/>
      <c r="E88" s="3"/>
      <c r="F88" s="3"/>
      <c r="G88" s="3"/>
      <c r="H88" s="3"/>
      <c r="I88" s="3"/>
      <c r="J88" s="3"/>
      <c r="K88" s="3"/>
    </row>
    <row r="89" spans="1:13" ht="15" customHeight="1" x14ac:dyDescent="0.25">
      <c r="A89" s="10" t="s">
        <v>295</v>
      </c>
      <c r="B89" s="10" t="s">
        <v>31</v>
      </c>
      <c r="C89" s="82" t="s">
        <v>7</v>
      </c>
      <c r="D89" s="83"/>
      <c r="E89" s="83"/>
      <c r="F89" s="83"/>
      <c r="G89" s="6" t="s">
        <v>32</v>
      </c>
      <c r="H89" s="6" t="s">
        <v>296</v>
      </c>
      <c r="I89" s="6" t="s">
        <v>297</v>
      </c>
      <c r="J89" s="57" t="s">
        <v>9</v>
      </c>
      <c r="K89" s="58"/>
    </row>
    <row r="90" spans="1:13" ht="30" customHeight="1" x14ac:dyDescent="0.25">
      <c r="A90" s="6" t="s">
        <v>11</v>
      </c>
      <c r="B90" s="6" t="s">
        <v>318</v>
      </c>
      <c r="C90" s="91" t="str">
        <f>VLOOKUP(B90,S!$A:$D,2,FALSE)</f>
        <v>MURETA PRÉ-MOLDADA PARA LIGAÇÕES DOMICILIARES DE ÁGUA</v>
      </c>
      <c r="D90" s="91"/>
      <c r="E90" s="91"/>
      <c r="F90" s="92"/>
      <c r="G90" s="6" t="str">
        <f>VLOOKUP(B90,S!$A:$D,3,FALSE)</f>
        <v>UN</v>
      </c>
      <c r="H90" s="21"/>
      <c r="I90" s="21">
        <f>J105</f>
        <v>235.88999999999993</v>
      </c>
      <c r="J90" s="76"/>
      <c r="K90" s="72"/>
      <c r="L90" s="21">
        <f>VLOOKUP(B90,S!$A:$D,4,FALSE)</f>
        <v>234.92</v>
      </c>
      <c r="M90" s="6" t="str">
        <f>IF(ROUND((L90-I90),2)=0,"OK, confere com a tabela.",IF(ROUND((L90-I90),2)&lt;0,"ACIMA ("&amp;TEXT(ROUND(I90*100/L90,4),"0,0000")&amp;" %) da tabela.","ABAIXO ("&amp;TEXT(ROUND(I90*100/L90,4),"0,0000")&amp;" %) da tabela."))</f>
        <v>ACIMA (100,4129 %) da tabela.</v>
      </c>
    </row>
    <row r="91" spans="1:13" ht="15" customHeight="1" x14ac:dyDescent="0.25">
      <c r="A91" s="16" t="s">
        <v>306</v>
      </c>
      <c r="B91" s="16" t="s">
        <v>309</v>
      </c>
      <c r="C91" s="77" t="str">
        <f>VLOOKUP(B91,IF(A91="COMPOSICAO",S!$A:$D,I!$A:$D),2,FALSE)</f>
        <v>FITA VEDACAO TEFLON LARG= 1/2"</v>
      </c>
      <c r="D91" s="77"/>
      <c r="E91" s="77"/>
      <c r="F91" s="77"/>
      <c r="G91" s="16" t="str">
        <f>VLOOKUP(B91,IF(A91="COMPOSICAO",S!$A:$D,I!$A:$D),3,FALSE)</f>
        <v>M</v>
      </c>
      <c r="H91" s="17">
        <v>12</v>
      </c>
      <c r="I91" s="17">
        <f>IF(A91="COMPOSICAO",VLOOKUP("TOTAL - "&amp;B91,COMPOSICAO_AUX_2!$A:$J,10,FALSE),VLOOKUP(B91,I!$A:$D,4,FALSE))</f>
        <v>0.28999999999999998</v>
      </c>
      <c r="J91" s="80">
        <f t="shared" ref="J91:J104" si="6">TRUNC(H91*I91,2)</f>
        <v>3.48</v>
      </c>
      <c r="K91" s="81"/>
    </row>
    <row r="92" spans="1:13" ht="30" customHeight="1" x14ac:dyDescent="0.25">
      <c r="A92" s="16" t="s">
        <v>306</v>
      </c>
      <c r="B92" s="16" t="s">
        <v>512</v>
      </c>
      <c r="C92" s="77" t="str">
        <f>VLOOKUP(B92,IF(A92="COMPOSICAO",S!$A:$D,I!$A:$D),2,FALSE)</f>
        <v>JOELHO 90° PVC RIGIDO ROSCAVEL C/BUCHA LATAO,  D= 1/2"</v>
      </c>
      <c r="D92" s="77"/>
      <c r="E92" s="77"/>
      <c r="F92" s="77"/>
      <c r="G92" s="16" t="str">
        <f>VLOOKUP(B92,IF(A92="COMPOSICAO",S!$A:$D,I!$A:$D),3,FALSE)</f>
        <v>UN</v>
      </c>
      <c r="H92" s="17">
        <v>4</v>
      </c>
      <c r="I92" s="17">
        <f>IF(A92="COMPOSICAO",VLOOKUP("TOTAL - "&amp;B92,COMPOSICAO_AUX_2!$A:$J,10,FALSE),VLOOKUP(B92,I!$A:$D,4,FALSE))</f>
        <v>6.81</v>
      </c>
      <c r="J92" s="80">
        <f t="shared" si="6"/>
        <v>27.24</v>
      </c>
      <c r="K92" s="81"/>
    </row>
    <row r="93" spans="1:13" ht="15" customHeight="1" x14ac:dyDescent="0.25">
      <c r="A93" s="16" t="s">
        <v>306</v>
      </c>
      <c r="B93" s="16" t="s">
        <v>513</v>
      </c>
      <c r="C93" s="77" t="str">
        <f>VLOOKUP(B93,IF(A93="COMPOSICAO",S!$A:$D,I!$A:$D),2,FALSE)</f>
        <v>PARAFUSO DE METAL 2 " X 12 (SEXTAVADO)</v>
      </c>
      <c r="D93" s="77"/>
      <c r="E93" s="77"/>
      <c r="F93" s="77"/>
      <c r="G93" s="16" t="str">
        <f>VLOOKUP(B93,IF(A93="COMPOSICAO",S!$A:$D,I!$A:$D),3,FALSE)</f>
        <v>UN</v>
      </c>
      <c r="H93" s="17">
        <v>2</v>
      </c>
      <c r="I93" s="17">
        <f>IF(A93="COMPOSICAO",VLOOKUP("TOTAL - "&amp;B93,COMPOSICAO_AUX_2!$A:$J,10,FALSE),VLOOKUP(B93,I!$A:$D,4,FALSE))</f>
        <v>3.73</v>
      </c>
      <c r="J93" s="80">
        <f t="shared" si="6"/>
        <v>7.46</v>
      </c>
      <c r="K93" s="81"/>
    </row>
    <row r="94" spans="1:13" ht="30" customHeight="1" x14ac:dyDescent="0.25">
      <c r="A94" s="16" t="s">
        <v>306</v>
      </c>
      <c r="B94" s="16" t="s">
        <v>514</v>
      </c>
      <c r="C94" s="77" t="str">
        <f>VLOOKUP(B94,IF(A94="COMPOSICAO",S!$A:$D,I!$A:$D),2,FALSE)</f>
        <v>CAIXA PLÁSTICA PARA PROTEÇÃO DE HIDRÔMETRO C/TAMPA ARTICULADA EM POLICARBONATO</v>
      </c>
      <c r="D94" s="77"/>
      <c r="E94" s="77"/>
      <c r="F94" s="77"/>
      <c r="G94" s="16" t="str">
        <f>VLOOKUP(B94,IF(A94="COMPOSICAO",S!$A:$D,I!$A:$D),3,FALSE)</f>
        <v>UN</v>
      </c>
      <c r="H94" s="17">
        <v>1</v>
      </c>
      <c r="I94" s="17">
        <f>IF(A94="COMPOSICAO",VLOOKUP("TOTAL - "&amp;B94,COMPOSICAO_AUX_2!$A:$J,10,FALSE),VLOOKUP(B94,I!$A:$D,4,FALSE))</f>
        <v>94.49</v>
      </c>
      <c r="J94" s="80">
        <f t="shared" si="6"/>
        <v>94.49</v>
      </c>
      <c r="K94" s="81"/>
    </row>
    <row r="95" spans="1:13" ht="15" customHeight="1" x14ac:dyDescent="0.25">
      <c r="A95" s="16" t="s">
        <v>306</v>
      </c>
      <c r="B95" s="20">
        <v>2696</v>
      </c>
      <c r="C95" s="77" t="str">
        <f>VLOOKUP(B95,IF(A95="COMPOSICAO",S!$A:$D,I!$A:$D),2,FALSE)</f>
        <v>ENCANADOR OU BOMBEIRO HIDRAULICO</v>
      </c>
      <c r="D95" s="77"/>
      <c r="E95" s="77"/>
      <c r="F95" s="77"/>
      <c r="G95" s="16" t="str">
        <f>VLOOKUP(B95,IF(A95="COMPOSICAO",S!$A:$D,I!$A:$D),3,FALSE)</f>
        <v>H</v>
      </c>
      <c r="H95" s="17">
        <v>0.4</v>
      </c>
      <c r="I95" s="17">
        <f>IF(A95="COMPOSICAO",VLOOKUP("TOTAL - "&amp;B95,COMPOSICAO_AUX_2!$A:$J,10,FALSE),VLOOKUP(B95,I!$A:$D,4,FALSE))</f>
        <v>14.93</v>
      </c>
      <c r="J95" s="80">
        <f t="shared" si="6"/>
        <v>5.97</v>
      </c>
      <c r="K95" s="81"/>
    </row>
    <row r="96" spans="1:13" ht="15" customHeight="1" x14ac:dyDescent="0.25">
      <c r="A96" s="16" t="s">
        <v>306</v>
      </c>
      <c r="B96" s="20">
        <v>4750</v>
      </c>
      <c r="C96" s="77" t="str">
        <f>VLOOKUP(B96,IF(A96="COMPOSICAO",S!$A:$D,I!$A:$D),2,FALSE)</f>
        <v>PEDREIRO</v>
      </c>
      <c r="D96" s="77"/>
      <c r="E96" s="77"/>
      <c r="F96" s="77"/>
      <c r="G96" s="16" t="str">
        <f>VLOOKUP(B96,IF(A96="COMPOSICAO",S!$A:$D,I!$A:$D),3,FALSE)</f>
        <v>H</v>
      </c>
      <c r="H96" s="17">
        <v>0.6</v>
      </c>
      <c r="I96" s="17">
        <f>IF(A96="COMPOSICAO",VLOOKUP("TOTAL - "&amp;B96,COMPOSICAO_AUX_2!$A:$J,10,FALSE),VLOOKUP(B96,I!$A:$D,4,FALSE))</f>
        <v>14.93</v>
      </c>
      <c r="J96" s="80">
        <f t="shared" si="6"/>
        <v>8.9499999999999993</v>
      </c>
      <c r="K96" s="81"/>
    </row>
    <row r="97" spans="1:13" ht="15" customHeight="1" x14ac:dyDescent="0.25">
      <c r="A97" s="16" t="s">
        <v>306</v>
      </c>
      <c r="B97" s="20">
        <v>6111</v>
      </c>
      <c r="C97" s="77" t="str">
        <f>VLOOKUP(B97,IF(A97="COMPOSICAO",S!$A:$D,I!$A:$D),2,FALSE)</f>
        <v>SERVENTE DE OBRAS</v>
      </c>
      <c r="D97" s="77"/>
      <c r="E97" s="77"/>
      <c r="F97" s="77"/>
      <c r="G97" s="16" t="str">
        <f>VLOOKUP(B97,IF(A97="COMPOSICAO",S!$A:$D,I!$A:$D),3,FALSE)</f>
        <v>H</v>
      </c>
      <c r="H97" s="17">
        <v>1</v>
      </c>
      <c r="I97" s="17">
        <f>IF(A97="COMPOSICAO",VLOOKUP("TOTAL - "&amp;B97,COMPOSICAO_AUX_2!$A:$J,10,FALSE),VLOOKUP(B97,I!$A:$D,4,FALSE))</f>
        <v>10.6</v>
      </c>
      <c r="J97" s="80">
        <f t="shared" si="6"/>
        <v>10.6</v>
      </c>
      <c r="K97" s="81"/>
    </row>
    <row r="98" spans="1:13" ht="15" customHeight="1" x14ac:dyDescent="0.25">
      <c r="A98" s="16" t="s">
        <v>306</v>
      </c>
      <c r="B98" s="20">
        <v>9856</v>
      </c>
      <c r="C98" s="77" t="str">
        <f>VLOOKUP(B98,IF(A98="COMPOSICAO",S!$A:$D,I!$A:$D),2,FALSE)</f>
        <v>TUBO PVC, ROSCAVEL, 1/2", AGUA FRIA PREDIAL</v>
      </c>
      <c r="D98" s="77"/>
      <c r="E98" s="77"/>
      <c r="F98" s="77"/>
      <c r="G98" s="16" t="str">
        <f>VLOOKUP(B98,IF(A98="COMPOSICAO",S!$A:$D,I!$A:$D),3,FALSE)</f>
        <v>M</v>
      </c>
      <c r="H98" s="17">
        <v>1.8</v>
      </c>
      <c r="I98" s="17">
        <f>IF(A98="COMPOSICAO",VLOOKUP("TOTAL - "&amp;B98,COMPOSICAO_AUX_2!$A:$J,10,FALSE),VLOOKUP(B98,I!$A:$D,4,FALSE))</f>
        <v>7.8</v>
      </c>
      <c r="J98" s="80">
        <f t="shared" si="6"/>
        <v>14.04</v>
      </c>
      <c r="K98" s="81"/>
    </row>
    <row r="99" spans="1:13" ht="30" customHeight="1" x14ac:dyDescent="0.25">
      <c r="A99" s="16" t="s">
        <v>302</v>
      </c>
      <c r="B99" s="16" t="s">
        <v>515</v>
      </c>
      <c r="C99" s="77" t="str">
        <f>VLOOKUP(B99,IF(A99="COMPOSICAO",S!$A:$D,I!$A:$D),2,FALSE)</f>
        <v>CONCRETO SIMPLES USINADO FCK=21MPA, BOMBEADO, LANÇADO E ADENSADO EM SUPERESTRUTURA</v>
      </c>
      <c r="D99" s="77"/>
      <c r="E99" s="77"/>
      <c r="F99" s="77"/>
      <c r="G99" s="16" t="str">
        <f>VLOOKUP(B99,IF(A99="COMPOSICAO",S!$A:$D,I!$A:$D),3,FALSE)</f>
        <v>M3</v>
      </c>
      <c r="H99" s="17">
        <v>0.03</v>
      </c>
      <c r="I99" s="17">
        <f>IF(A99="COMPOSICAO",VLOOKUP("TOTAL - "&amp;B99,COMPOSICAO_AUX_2!$A:$J,10,FALSE),VLOOKUP(B99,I!$A:$D,4,FALSE))</f>
        <v>445.86</v>
      </c>
      <c r="J99" s="80">
        <f t="shared" si="6"/>
        <v>13.37</v>
      </c>
      <c r="K99" s="81"/>
    </row>
    <row r="100" spans="1:13" ht="60" customHeight="1" x14ac:dyDescent="0.25">
      <c r="A100" s="16" t="s">
        <v>302</v>
      </c>
      <c r="B100" s="16" t="s">
        <v>516</v>
      </c>
      <c r="C100" s="77" t="str">
        <f>VLOOKUP(B100,IF(A100="COMPOSICAO",S!$A:$D,I!$A:$D),2,FALSE)</f>
        <v>AÇO CA - 60 Ø 4,2 A 9,5MM, INCLUSIVE CORTE, DOBRAGEM, MONTAGEM E COLOCACAO DE FERRAGENS NAS FORMAS, PARA SUPERESTRUTURAS E FUNDAÇÕES - R1</v>
      </c>
      <c r="D100" s="77"/>
      <c r="E100" s="77"/>
      <c r="F100" s="77"/>
      <c r="G100" s="16" t="str">
        <f>VLOOKUP(B100,IF(A100="COMPOSICAO",S!$A:$D,I!$A:$D),3,FALSE)</f>
        <v>KG</v>
      </c>
      <c r="H100" s="17">
        <v>2.4</v>
      </c>
      <c r="I100" s="17">
        <f>IF(A100="COMPOSICAO",VLOOKUP("TOTAL - "&amp;B100,COMPOSICAO_AUX_2!$A:$J,10,FALSE),VLOOKUP(B100,I!$A:$D,4,FALSE))</f>
        <v>13.729999999999999</v>
      </c>
      <c r="J100" s="80">
        <f t="shared" si="6"/>
        <v>32.950000000000003</v>
      </c>
      <c r="K100" s="81"/>
    </row>
    <row r="101" spans="1:13" ht="15" customHeight="1" x14ac:dyDescent="0.25">
      <c r="A101" s="16" t="s">
        <v>302</v>
      </c>
      <c r="B101" s="16" t="s">
        <v>319</v>
      </c>
      <c r="C101" s="77" t="str">
        <f>VLOOKUP(B101,IF(A101="COMPOSICAO",S!$A:$D,I!$A:$D),2,FALSE)</f>
        <v>ENCARGOS COMPLEMENTARES - SERVENTE</v>
      </c>
      <c r="D101" s="77"/>
      <c r="E101" s="77"/>
      <c r="F101" s="77"/>
      <c r="G101" s="16" t="str">
        <f>VLOOKUP(B101,IF(A101="COMPOSICAO",S!$A:$D,I!$A:$D),3,FALSE)</f>
        <v>H</v>
      </c>
      <c r="H101" s="17">
        <v>1</v>
      </c>
      <c r="I101" s="17">
        <f>IF(A101="COMPOSICAO",VLOOKUP("TOTAL - "&amp;B101,COMPOSICAO_AUX_2!$A:$J,10,FALSE),VLOOKUP(B101,I!$A:$D,4,FALSE))</f>
        <v>2.9100000000000006</v>
      </c>
      <c r="J101" s="80">
        <f t="shared" si="6"/>
        <v>2.91</v>
      </c>
      <c r="K101" s="81"/>
    </row>
    <row r="102" spans="1:13" ht="15" customHeight="1" x14ac:dyDescent="0.25">
      <c r="A102" s="16" t="s">
        <v>302</v>
      </c>
      <c r="B102" s="16" t="s">
        <v>383</v>
      </c>
      <c r="C102" s="77" t="str">
        <f>VLOOKUP(B102,IF(A102="COMPOSICAO",S!$A:$D,I!$A:$D),2,FALSE)</f>
        <v>ENCARGOS COMPLEMENTARES - PEDREIRO</v>
      </c>
      <c r="D102" s="77"/>
      <c r="E102" s="77"/>
      <c r="F102" s="77"/>
      <c r="G102" s="16" t="str">
        <f>VLOOKUP(B102,IF(A102="COMPOSICAO",S!$A:$D,I!$A:$D),3,FALSE)</f>
        <v>H</v>
      </c>
      <c r="H102" s="17">
        <v>0.6</v>
      </c>
      <c r="I102" s="17">
        <f>IF(A102="COMPOSICAO",VLOOKUP("TOTAL - "&amp;B102,COMPOSICAO_AUX_2!$A:$J,10,FALSE),VLOOKUP(B102,I!$A:$D,4,FALSE))</f>
        <v>2.8000000000000003</v>
      </c>
      <c r="J102" s="80">
        <f t="shared" si="6"/>
        <v>1.68</v>
      </c>
      <c r="K102" s="81"/>
    </row>
    <row r="103" spans="1:13" ht="15" customHeight="1" x14ac:dyDescent="0.25">
      <c r="A103" s="16" t="s">
        <v>302</v>
      </c>
      <c r="B103" s="16" t="s">
        <v>320</v>
      </c>
      <c r="C103" s="77" t="str">
        <f>VLOOKUP(B103,IF(A103="COMPOSICAO",S!$A:$D,I!$A:$D),2,FALSE)</f>
        <v>ENCARGOS COMPLEMENTARES - ENCANADOR</v>
      </c>
      <c r="D103" s="77"/>
      <c r="E103" s="77"/>
      <c r="F103" s="77"/>
      <c r="G103" s="16" t="str">
        <f>VLOOKUP(B103,IF(A103="COMPOSICAO",S!$A:$D,I!$A:$D),3,FALSE)</f>
        <v>H</v>
      </c>
      <c r="H103" s="17">
        <v>0.4</v>
      </c>
      <c r="I103" s="17">
        <f>IF(A103="COMPOSICAO",VLOOKUP("TOTAL - "&amp;B103,COMPOSICAO_AUX_2!$A:$J,10,FALSE),VLOOKUP(B103,I!$A:$D,4,FALSE))</f>
        <v>2.8499999999999996</v>
      </c>
      <c r="J103" s="80">
        <f t="shared" si="6"/>
        <v>1.1399999999999999</v>
      </c>
      <c r="K103" s="81"/>
    </row>
    <row r="104" spans="1:13" ht="45" customHeight="1" x14ac:dyDescent="0.25">
      <c r="A104" s="16" t="s">
        <v>302</v>
      </c>
      <c r="B104" s="16" t="s">
        <v>517</v>
      </c>
      <c r="C104" s="77" t="str">
        <f>VLOOKUP(B104,IF(A104="COMPOSICAO",S!$A:$D,I!$A:$D),2,FALSE)</f>
        <v>FORMA PLANA PARA ESTRUTURAS, EM COMPENSADO PLASTIFICADO DE 12MM, 10 USOS, INCLUSIVE ESCORAMENTO - REVISADA 07.2015</v>
      </c>
      <c r="D104" s="77"/>
      <c r="E104" s="77"/>
      <c r="F104" s="77"/>
      <c r="G104" s="16" t="str">
        <f>VLOOKUP(B104,IF(A104="COMPOSICAO",S!$A:$D,I!$A:$D),3,FALSE)</f>
        <v>M2</v>
      </c>
      <c r="H104" s="17">
        <v>0.3</v>
      </c>
      <c r="I104" s="17">
        <f>IF(A104="COMPOSICAO",VLOOKUP("TOTAL - "&amp;B104,COMPOSICAO_AUX_2!$A:$J,10,FALSE),VLOOKUP(B104,I!$A:$D,4,FALSE))</f>
        <v>38.700000000000003</v>
      </c>
      <c r="J104" s="80">
        <f t="shared" si="6"/>
        <v>11.61</v>
      </c>
      <c r="K104" s="81"/>
    </row>
    <row r="105" spans="1:13" ht="15" customHeight="1" x14ac:dyDescent="0.25">
      <c r="A105" s="23" t="s">
        <v>518</v>
      </c>
      <c r="B105" s="24"/>
      <c r="C105" s="24"/>
      <c r="D105" s="24"/>
      <c r="E105" s="24"/>
      <c r="F105" s="24"/>
      <c r="G105" s="25"/>
      <c r="H105" s="26"/>
      <c r="I105" s="27"/>
      <c r="J105" s="80">
        <f>SUM(J90:K104)</f>
        <v>235.88999999999993</v>
      </c>
      <c r="K105" s="81"/>
    </row>
    <row r="106" spans="1:13" ht="15" customHeight="1" x14ac:dyDescent="0.25">
      <c r="A106" s="3"/>
      <c r="B106" s="3"/>
      <c r="C106" s="3"/>
      <c r="D106" s="3"/>
      <c r="E106" s="3"/>
      <c r="F106" s="3"/>
      <c r="G106" s="3"/>
      <c r="H106" s="3"/>
      <c r="I106" s="3"/>
      <c r="J106" s="3"/>
      <c r="K106" s="3"/>
    </row>
    <row r="107" spans="1:13" ht="15" customHeight="1" x14ac:dyDescent="0.25">
      <c r="A107" s="10" t="s">
        <v>295</v>
      </c>
      <c r="B107" s="10" t="s">
        <v>31</v>
      </c>
      <c r="C107" s="82" t="s">
        <v>7</v>
      </c>
      <c r="D107" s="83"/>
      <c r="E107" s="83"/>
      <c r="F107" s="83"/>
      <c r="G107" s="6" t="s">
        <v>32</v>
      </c>
      <c r="H107" s="6" t="s">
        <v>296</v>
      </c>
      <c r="I107" s="6" t="s">
        <v>297</v>
      </c>
      <c r="J107" s="57" t="s">
        <v>9</v>
      </c>
      <c r="K107" s="58"/>
    </row>
    <row r="108" spans="1:13" ht="15" customHeight="1" x14ac:dyDescent="0.25">
      <c r="A108" s="6" t="s">
        <v>11</v>
      </c>
      <c r="B108" s="6" t="s">
        <v>319</v>
      </c>
      <c r="C108" s="91" t="str">
        <f>VLOOKUP(B108,S!$A:$D,2,FALSE)</f>
        <v>ENCARGOS COMPLEMENTARES - SERVENTE</v>
      </c>
      <c r="D108" s="91"/>
      <c r="E108" s="91"/>
      <c r="F108" s="92"/>
      <c r="G108" s="6" t="str">
        <f>VLOOKUP(B108,S!$A:$D,3,FALSE)</f>
        <v>H</v>
      </c>
      <c r="H108" s="21"/>
      <c r="I108" s="21">
        <f>J127</f>
        <v>2.9100000000000006</v>
      </c>
      <c r="J108" s="76"/>
      <c r="K108" s="72"/>
      <c r="L108" s="21">
        <f>VLOOKUP(B108,S!$A:$D,4,FALSE)</f>
        <v>2.98</v>
      </c>
      <c r="M108" s="6" t="str">
        <f>IF(ROUND((L108-I108),2)=0,"OK, confere com a tabela.",IF(ROUND((L108-I108),2)&lt;0,"ACIMA ("&amp;TEXT(ROUND(I108*100/L108,4),"0,0000")&amp;" %) da tabela.","ABAIXO ("&amp;TEXT(ROUND(I108*100/L108,4),"0,0000")&amp;" %) da tabela."))</f>
        <v>ABAIXO (97,6510 %) da tabela.</v>
      </c>
    </row>
    <row r="109" spans="1:13" ht="15" customHeight="1" x14ac:dyDescent="0.25">
      <c r="A109" s="16" t="s">
        <v>306</v>
      </c>
      <c r="B109" s="16" t="s">
        <v>519</v>
      </c>
      <c r="C109" s="77" t="str">
        <f>VLOOKUP(B109,IF(A109="COMPOSICAO",S!$A:$D,I!$A:$D),2,FALSE)</f>
        <v>ALMOÇO (PARTICIPAÇÃO DO EMPREGADOR)</v>
      </c>
      <c r="D109" s="77"/>
      <c r="E109" s="77"/>
      <c r="F109" s="77"/>
      <c r="G109" s="16" t="str">
        <f>VLOOKUP(B109,IF(A109="COMPOSICAO",S!$A:$D,I!$A:$D),3,FALSE)</f>
        <v>UN</v>
      </c>
      <c r="H109" s="29">
        <v>0.1018</v>
      </c>
      <c r="I109" s="17">
        <f>IF(A109="COMPOSICAO",VLOOKUP("TOTAL - "&amp;B109,COMPOSICAO_AUX_2!$A:$J,10,FALSE),VLOOKUP(B109,I!$A:$D,4,FALSE))</f>
        <v>10</v>
      </c>
      <c r="J109" s="80">
        <f t="shared" ref="J109:J126" si="7">TRUNC(H109*I109,2)</f>
        <v>1.01</v>
      </c>
      <c r="K109" s="81"/>
    </row>
    <row r="110" spans="1:13" ht="15" customHeight="1" x14ac:dyDescent="0.25">
      <c r="A110" s="16" t="s">
        <v>306</v>
      </c>
      <c r="B110" s="16" t="s">
        <v>520</v>
      </c>
      <c r="C110" s="77" t="str">
        <f>VLOOKUP(B110,IF(A110="COMPOSICAO",S!$A:$D,I!$A:$D),2,FALSE)</f>
        <v>FARDAMENTO</v>
      </c>
      <c r="D110" s="77"/>
      <c r="E110" s="77"/>
      <c r="F110" s="77"/>
      <c r="G110" s="16" t="str">
        <f>VLOOKUP(B110,IF(A110="COMPOSICAO",S!$A:$D,I!$A:$D),3,FALSE)</f>
        <v>UN</v>
      </c>
      <c r="H110" s="29">
        <v>1.5E-3</v>
      </c>
      <c r="I110" s="17">
        <f>IF(A110="COMPOSICAO",VLOOKUP("TOTAL - "&amp;B110,COMPOSICAO_AUX_2!$A:$J,10,FALSE),VLOOKUP(B110,I!$A:$D,4,FALSE))</f>
        <v>78.53</v>
      </c>
      <c r="J110" s="80">
        <f t="shared" si="7"/>
        <v>0.11</v>
      </c>
      <c r="K110" s="81"/>
    </row>
    <row r="111" spans="1:13" ht="15" customHeight="1" x14ac:dyDescent="0.25">
      <c r="A111" s="16" t="s">
        <v>306</v>
      </c>
      <c r="B111" s="16" t="s">
        <v>521</v>
      </c>
      <c r="C111" s="77" t="str">
        <f>VLOOKUP(B111,IF(A111="COMPOSICAO",S!$A:$D,I!$A:$D),2,FALSE)</f>
        <v>ÓCULOS BRANCO PROTEÇÃO</v>
      </c>
      <c r="D111" s="77"/>
      <c r="E111" s="77"/>
      <c r="F111" s="77"/>
      <c r="G111" s="16" t="str">
        <f>VLOOKUP(B111,IF(A111="COMPOSICAO",S!$A:$D,I!$A:$D),3,FALSE)</f>
        <v>PR</v>
      </c>
      <c r="H111" s="29">
        <v>8.0000000000000004E-4</v>
      </c>
      <c r="I111" s="17">
        <f>IF(A111="COMPOSICAO",VLOOKUP("TOTAL - "&amp;B111,COMPOSICAO_AUX_2!$A:$J,10,FALSE),VLOOKUP(B111,I!$A:$D,4,FALSE))</f>
        <v>5.9</v>
      </c>
      <c r="J111" s="80">
        <f t="shared" si="7"/>
        <v>0</v>
      </c>
      <c r="K111" s="81"/>
    </row>
    <row r="112" spans="1:13" ht="15" customHeight="1" x14ac:dyDescent="0.25">
      <c r="A112" s="16" t="s">
        <v>306</v>
      </c>
      <c r="B112" s="16" t="s">
        <v>522</v>
      </c>
      <c r="C112" s="77" t="str">
        <f>VLOOKUP(B112,IF(A112="COMPOSICAO",S!$A:$D,I!$A:$D),2,FALSE)</f>
        <v>VALE TRANSPORTE</v>
      </c>
      <c r="D112" s="77"/>
      <c r="E112" s="77"/>
      <c r="F112" s="77"/>
      <c r="G112" s="16" t="str">
        <f>VLOOKUP(B112,IF(A112="COMPOSICAO",S!$A:$D,I!$A:$D),3,FALSE)</f>
        <v>UN</v>
      </c>
      <c r="H112" s="29">
        <v>9.4100000000000003E-2</v>
      </c>
      <c r="I112" s="17">
        <f>IF(A112="COMPOSICAO",VLOOKUP("TOTAL - "&amp;B112,COMPOSICAO_AUX_2!$A:$J,10,FALSE),VLOOKUP(B112,I!$A:$D,4,FALSE))</f>
        <v>4</v>
      </c>
      <c r="J112" s="80">
        <f t="shared" si="7"/>
        <v>0.37</v>
      </c>
      <c r="K112" s="81"/>
    </row>
    <row r="113" spans="1:11" ht="15" customHeight="1" x14ac:dyDescent="0.25">
      <c r="A113" s="16" t="s">
        <v>306</v>
      </c>
      <c r="B113" s="16" t="s">
        <v>523</v>
      </c>
      <c r="C113" s="77" t="str">
        <f>VLOOKUP(B113,IF(A113="COMPOSICAO",S!$A:$D,I!$A:$D),2,FALSE)</f>
        <v>TALHADEIRA CHATA 10"</v>
      </c>
      <c r="D113" s="77"/>
      <c r="E113" s="77"/>
      <c r="F113" s="77"/>
      <c r="G113" s="16" t="str">
        <f>VLOOKUP(B113,IF(A113="COMPOSICAO",S!$A:$D,I!$A:$D),3,FALSE)</f>
        <v>UN</v>
      </c>
      <c r="H113" s="29">
        <v>2.9999999999999997E-4</v>
      </c>
      <c r="I113" s="17">
        <f>IF(A113="COMPOSICAO",VLOOKUP("TOTAL - "&amp;B113,COMPOSICAO_AUX_2!$A:$J,10,FALSE),VLOOKUP(B113,I!$A:$D,4,FALSE))</f>
        <v>13.85</v>
      </c>
      <c r="J113" s="80">
        <f t="shared" si="7"/>
        <v>0</v>
      </c>
      <c r="K113" s="81"/>
    </row>
    <row r="114" spans="1:11" ht="15" customHeight="1" x14ac:dyDescent="0.25">
      <c r="A114" s="16" t="s">
        <v>306</v>
      </c>
      <c r="B114" s="16" t="s">
        <v>524</v>
      </c>
      <c r="C114" s="77" t="str">
        <f>VLOOKUP(B114,IF(A114="COMPOSICAO",S!$A:$D,I!$A:$D),2,FALSE)</f>
        <v>MARRETA 1 KG COM CABO</v>
      </c>
      <c r="D114" s="77"/>
      <c r="E114" s="77"/>
      <c r="F114" s="77"/>
      <c r="G114" s="16" t="str">
        <f>VLOOKUP(B114,IF(A114="COMPOSICAO",S!$A:$D,I!$A:$D),3,FALSE)</f>
        <v>UN</v>
      </c>
      <c r="H114" s="29">
        <v>1E-4</v>
      </c>
      <c r="I114" s="17">
        <f>IF(A114="COMPOSICAO",VLOOKUP("TOTAL - "&amp;B114,COMPOSICAO_AUX_2!$A:$J,10,FALSE),VLOOKUP(B114,I!$A:$D,4,FALSE))</f>
        <v>27.5</v>
      </c>
      <c r="J114" s="80">
        <f t="shared" si="7"/>
        <v>0</v>
      </c>
      <c r="K114" s="81"/>
    </row>
    <row r="115" spans="1:11" ht="15" customHeight="1" x14ac:dyDescent="0.25">
      <c r="A115" s="16" t="s">
        <v>306</v>
      </c>
      <c r="B115" s="16" t="s">
        <v>525</v>
      </c>
      <c r="C115" s="77" t="str">
        <f>VLOOKUP(B115,IF(A115="COMPOSICAO",S!$A:$D,I!$A:$D),2,FALSE)</f>
        <v>SEGURO DE VIDA E ACIDENTE EM GRUPO</v>
      </c>
      <c r="D115" s="77"/>
      <c r="E115" s="77"/>
      <c r="F115" s="77"/>
      <c r="G115" s="16" t="str">
        <f>VLOOKUP(B115,IF(A115="COMPOSICAO",S!$A:$D,I!$A:$D),3,FALSE)</f>
        <v>UN</v>
      </c>
      <c r="H115" s="29">
        <v>4.4999999999999997E-3</v>
      </c>
      <c r="I115" s="17">
        <f>IF(A115="COMPOSICAO",VLOOKUP("TOTAL - "&amp;B115,COMPOSICAO_AUX_2!$A:$J,10,FALSE),VLOOKUP(B115,I!$A:$D,4,FALSE))</f>
        <v>12.54</v>
      </c>
      <c r="J115" s="80">
        <f t="shared" si="7"/>
        <v>0.05</v>
      </c>
      <c r="K115" s="81"/>
    </row>
    <row r="116" spans="1:11" ht="15" customHeight="1" x14ac:dyDescent="0.25">
      <c r="A116" s="16" t="s">
        <v>306</v>
      </c>
      <c r="B116" s="16" t="s">
        <v>526</v>
      </c>
      <c r="C116" s="77" t="str">
        <f>VLOOKUP(B116,IF(A116="COMPOSICAO",S!$A:$D,I!$A:$D),2,FALSE)</f>
        <v>CESTA BÁSICA</v>
      </c>
      <c r="D116" s="77"/>
      <c r="E116" s="77"/>
      <c r="F116" s="77"/>
      <c r="G116" s="16" t="str">
        <f>VLOOKUP(B116,IF(A116="COMPOSICAO",S!$A:$D,I!$A:$D),3,FALSE)</f>
        <v>UN</v>
      </c>
      <c r="H116" s="29">
        <v>4.4999999999999997E-3</v>
      </c>
      <c r="I116" s="17">
        <f>IF(A116="COMPOSICAO",VLOOKUP("TOTAL - "&amp;B116,COMPOSICAO_AUX_2!$A:$J,10,FALSE),VLOOKUP(B116,I!$A:$D,4,FALSE))</f>
        <v>140</v>
      </c>
      <c r="J116" s="80">
        <f t="shared" si="7"/>
        <v>0.63</v>
      </c>
      <c r="K116" s="81"/>
    </row>
    <row r="117" spans="1:11" ht="15" customHeight="1" x14ac:dyDescent="0.25">
      <c r="A117" s="16" t="s">
        <v>306</v>
      </c>
      <c r="B117" s="16" t="s">
        <v>527</v>
      </c>
      <c r="C117" s="77" t="str">
        <f>VLOOKUP(B117,IF(A117="COMPOSICAO",S!$A:$D,I!$A:$D),2,FALSE)</f>
        <v>EXAMES ADMISSIONAIS/DEMISSIONAIS (CHECKUP)</v>
      </c>
      <c r="D117" s="77"/>
      <c r="E117" s="77"/>
      <c r="F117" s="77"/>
      <c r="G117" s="16" t="str">
        <f>VLOOKUP(B117,IF(A117="COMPOSICAO",S!$A:$D,I!$A:$D),3,FALSE)</f>
        <v>CJ</v>
      </c>
      <c r="H117" s="29">
        <v>4.0000000000000002E-4</v>
      </c>
      <c r="I117" s="17">
        <f>IF(A117="COMPOSICAO",VLOOKUP("TOTAL - "&amp;B117,COMPOSICAO_AUX_2!$A:$J,10,FALSE),VLOOKUP(B117,I!$A:$D,4,FALSE))</f>
        <v>300</v>
      </c>
      <c r="J117" s="80">
        <f t="shared" si="7"/>
        <v>0.12</v>
      </c>
      <c r="K117" s="81"/>
    </row>
    <row r="118" spans="1:11" ht="15" customHeight="1" x14ac:dyDescent="0.25">
      <c r="A118" s="16" t="s">
        <v>306</v>
      </c>
      <c r="B118" s="16" t="s">
        <v>528</v>
      </c>
      <c r="C118" s="77" t="str">
        <f>VLOOKUP(B118,IF(A118="COMPOSICAO",S!$A:$D,I!$A:$D),2,FALSE)</f>
        <v>PROTETOR AURICULAR</v>
      </c>
      <c r="D118" s="77"/>
      <c r="E118" s="77"/>
      <c r="F118" s="77"/>
      <c r="G118" s="16" t="str">
        <f>VLOOKUP(B118,IF(A118="COMPOSICAO",S!$A:$D,I!$A:$D),3,FALSE)</f>
        <v>UN</v>
      </c>
      <c r="H118" s="29">
        <v>4.4999999999999997E-3</v>
      </c>
      <c r="I118" s="17">
        <f>IF(A118="COMPOSICAO",VLOOKUP("TOTAL - "&amp;B118,COMPOSICAO_AUX_2!$A:$J,10,FALSE),VLOOKUP(B118,I!$A:$D,4,FALSE))</f>
        <v>4.9000000000000004</v>
      </c>
      <c r="J118" s="80">
        <f t="shared" si="7"/>
        <v>0.02</v>
      </c>
      <c r="K118" s="81"/>
    </row>
    <row r="119" spans="1:11" ht="15" customHeight="1" x14ac:dyDescent="0.25">
      <c r="A119" s="16" t="s">
        <v>306</v>
      </c>
      <c r="B119" s="16" t="s">
        <v>529</v>
      </c>
      <c r="C119" s="77" t="str">
        <f>VLOOKUP(B119,IF(A119="COMPOSICAO",S!$A:$D,I!$A:$D),2,FALSE)</f>
        <v>PROTETOR SOLAR FPS 30 COM 120ML</v>
      </c>
      <c r="D119" s="77"/>
      <c r="E119" s="77"/>
      <c r="F119" s="77"/>
      <c r="G119" s="16" t="str">
        <f>VLOOKUP(B119,IF(A119="COMPOSICAO",S!$A:$D,I!$A:$D),3,FALSE)</f>
        <v>UN</v>
      </c>
      <c r="H119" s="29">
        <v>1.8E-3</v>
      </c>
      <c r="I119" s="17">
        <f>IF(A119="COMPOSICAO",VLOOKUP("TOTAL - "&amp;B119,COMPOSICAO_AUX_2!$A:$J,10,FALSE),VLOOKUP(B119,I!$A:$D,4,FALSE))</f>
        <v>35.9</v>
      </c>
      <c r="J119" s="80">
        <f t="shared" si="7"/>
        <v>0.06</v>
      </c>
      <c r="K119" s="81"/>
    </row>
    <row r="120" spans="1:11" ht="30" customHeight="1" x14ac:dyDescent="0.25">
      <c r="A120" s="16" t="s">
        <v>306</v>
      </c>
      <c r="B120" s="16" t="s">
        <v>530</v>
      </c>
      <c r="C120" s="77" t="str">
        <f>VLOOKUP(B120,IF(A120="COMPOSICAO",S!$A:$D,I!$A:$D),2,FALSE)</f>
        <v>REFEIÇÃO - CAFÉ DA MANHÃ ( CAFÉ COM LEITE E DOIS PÃES COM MANTEIGA)</v>
      </c>
      <c r="D120" s="77"/>
      <c r="E120" s="77"/>
      <c r="F120" s="77"/>
      <c r="G120" s="16" t="str">
        <f>VLOOKUP(B120,IF(A120="COMPOSICAO",S!$A:$D,I!$A:$D),3,FALSE)</f>
        <v>UN</v>
      </c>
      <c r="H120" s="29">
        <v>0.1018</v>
      </c>
      <c r="I120" s="17">
        <f>IF(A120="COMPOSICAO",VLOOKUP("TOTAL - "&amp;B120,COMPOSICAO_AUX_2!$A:$J,10,FALSE),VLOOKUP(B120,I!$A:$D,4,FALSE))</f>
        <v>4.5</v>
      </c>
      <c r="J120" s="80">
        <f t="shared" si="7"/>
        <v>0.45</v>
      </c>
      <c r="K120" s="81"/>
    </row>
    <row r="121" spans="1:11" ht="15" customHeight="1" x14ac:dyDescent="0.25">
      <c r="A121" s="16" t="s">
        <v>306</v>
      </c>
      <c r="B121" s="16" t="s">
        <v>531</v>
      </c>
      <c r="C121" s="77" t="str">
        <f>VLOOKUP(B121,IF(A121="COMPOSICAO",S!$A:$D,I!$A:$D),2,FALSE)</f>
        <v>PÁ QUADRADA</v>
      </c>
      <c r="D121" s="77"/>
      <c r="E121" s="77"/>
      <c r="F121" s="77"/>
      <c r="G121" s="16" t="str">
        <f>VLOOKUP(B121,IF(A121="COMPOSICAO",S!$A:$D,I!$A:$D),3,FALSE)</f>
        <v>UN</v>
      </c>
      <c r="H121" s="29">
        <v>2.0000000000000001E-4</v>
      </c>
      <c r="I121" s="17">
        <f>IF(A121="COMPOSICAO",VLOOKUP("TOTAL - "&amp;B121,COMPOSICAO_AUX_2!$A:$J,10,FALSE),VLOOKUP(B121,I!$A:$D,4,FALSE))</f>
        <v>17.29</v>
      </c>
      <c r="J121" s="80">
        <f t="shared" si="7"/>
        <v>0</v>
      </c>
      <c r="K121" s="81"/>
    </row>
    <row r="122" spans="1:11" ht="30" customHeight="1" x14ac:dyDescent="0.25">
      <c r="A122" s="16" t="s">
        <v>306</v>
      </c>
      <c r="B122" s="20">
        <v>2711</v>
      </c>
      <c r="C122" s="77" t="str">
        <f>VLOOKUP(B122,IF(A122="COMPOSICAO",S!$A:$D,I!$A:$D),2,FALSE)</f>
        <v>CARRINHO DE MAO DE ACO CAPACIDADE 50 A 60 L, PNEU COM CAMARA</v>
      </c>
      <c r="D122" s="77"/>
      <c r="E122" s="77"/>
      <c r="F122" s="77"/>
      <c r="G122" s="16" t="str">
        <f>VLOOKUP(B122,IF(A122="COMPOSICAO",S!$A:$D,I!$A:$D),3,FALSE)</f>
        <v>UN</v>
      </c>
      <c r="H122" s="29">
        <v>2.0000000000000001E-4</v>
      </c>
      <c r="I122" s="17">
        <f>IF(A122="COMPOSICAO",VLOOKUP("TOTAL - "&amp;B122,COMPOSICAO_AUX_2!$A:$J,10,FALSE),VLOOKUP(B122,I!$A:$D,4,FALSE))</f>
        <v>127.67</v>
      </c>
      <c r="J122" s="80">
        <f t="shared" si="7"/>
        <v>0.02</v>
      </c>
      <c r="K122" s="81"/>
    </row>
    <row r="123" spans="1:11" ht="30" customHeight="1" x14ac:dyDescent="0.25">
      <c r="A123" s="16" t="s">
        <v>306</v>
      </c>
      <c r="B123" s="20">
        <v>12892</v>
      </c>
      <c r="C123" s="77" t="str">
        <f>VLOOKUP(B123,IF(A123="COMPOSICAO",S!$A:$D,I!$A:$D),2,FALSE)</f>
        <v>LUVA RASPA DE COURO, CANO CURTO (PUNHO *7* CM)</v>
      </c>
      <c r="D123" s="77"/>
      <c r="E123" s="77"/>
      <c r="F123" s="77"/>
      <c r="G123" s="16" t="str">
        <f>VLOOKUP(B123,IF(A123="COMPOSICAO",S!$A:$D,I!$A:$D),3,FALSE)</f>
        <v>PAR</v>
      </c>
      <c r="H123" s="29">
        <v>2.3E-3</v>
      </c>
      <c r="I123" s="17">
        <f>IF(A123="COMPOSICAO",VLOOKUP("TOTAL - "&amp;B123,COMPOSICAO_AUX_2!$A:$J,10,FALSE),VLOOKUP(B123,I!$A:$D,4,FALSE))</f>
        <v>12.91</v>
      </c>
      <c r="J123" s="80">
        <f t="shared" si="7"/>
        <v>0.02</v>
      </c>
      <c r="K123" s="81"/>
    </row>
    <row r="124" spans="1:11" ht="30" customHeight="1" x14ac:dyDescent="0.25">
      <c r="A124" s="16" t="s">
        <v>306</v>
      </c>
      <c r="B124" s="20">
        <v>12893</v>
      </c>
      <c r="C124" s="77" t="str">
        <f>VLOOKUP(B124,IF(A124="COMPOSICAO",S!$A:$D,I!$A:$D),2,FALSE)</f>
        <v>BOTA DE SEGURANCA COM BIQUEIRA DE ACO E COLARINHO ACOLCHOADO</v>
      </c>
      <c r="D124" s="77"/>
      <c r="E124" s="77"/>
      <c r="F124" s="77"/>
      <c r="G124" s="16" t="str">
        <f>VLOOKUP(B124,IF(A124="COMPOSICAO",S!$A:$D,I!$A:$D),3,FALSE)</f>
        <v>PAR</v>
      </c>
      <c r="H124" s="29">
        <v>8.0000000000000004E-4</v>
      </c>
      <c r="I124" s="17">
        <f>IF(A124="COMPOSICAO",VLOOKUP("TOTAL - "&amp;B124,COMPOSICAO_AUX_2!$A:$J,10,FALSE),VLOOKUP(B124,I!$A:$D,4,FALSE))</f>
        <v>68.88</v>
      </c>
      <c r="J124" s="80">
        <f t="shared" si="7"/>
        <v>0.05</v>
      </c>
      <c r="K124" s="81"/>
    </row>
    <row r="125" spans="1:11" ht="30" customHeight="1" x14ac:dyDescent="0.25">
      <c r="A125" s="16" t="s">
        <v>306</v>
      </c>
      <c r="B125" s="20">
        <v>12894</v>
      </c>
      <c r="C125" s="77" t="str">
        <f>VLOOKUP(B125,IF(A125="COMPOSICAO",S!$A:$D,I!$A:$D),2,FALSE)</f>
        <v>CAPA PARA CHUVA EM PVC COM FORRO DE POLIESTER, COM CAPUZ (AMARELA OU AZUL)</v>
      </c>
      <c r="D125" s="77"/>
      <c r="E125" s="77"/>
      <c r="F125" s="77"/>
      <c r="G125" s="16" t="str">
        <f>VLOOKUP(B125,IF(A125="COMPOSICAO",S!$A:$D,I!$A:$D),3,FALSE)</f>
        <v>UN</v>
      </c>
      <c r="H125" s="29">
        <v>2.0000000000000001E-4</v>
      </c>
      <c r="I125" s="17">
        <f>IF(A125="COMPOSICAO",VLOOKUP("TOTAL - "&amp;B125,COMPOSICAO_AUX_2!$A:$J,10,FALSE),VLOOKUP(B125,I!$A:$D,4,FALSE))</f>
        <v>18.649999999999999</v>
      </c>
      <c r="J125" s="80">
        <f t="shared" si="7"/>
        <v>0</v>
      </c>
      <c r="K125" s="81"/>
    </row>
    <row r="126" spans="1:11" ht="30" customHeight="1" x14ac:dyDescent="0.25">
      <c r="A126" s="16" t="s">
        <v>306</v>
      </c>
      <c r="B126" s="20">
        <v>12895</v>
      </c>
      <c r="C126" s="77" t="str">
        <f>VLOOKUP(B126,IF(A126="COMPOSICAO",S!$A:$D,I!$A:$D),2,FALSE)</f>
        <v>CAPACETE DE SEGURANCA ABA FRONTAL COM SUSPENSAO DE POLIETILENO, SEM JUGULAR (CLASSE B)</v>
      </c>
      <c r="D126" s="77"/>
      <c r="E126" s="77"/>
      <c r="F126" s="77"/>
      <c r="G126" s="16" t="str">
        <f>VLOOKUP(B126,IF(A126="COMPOSICAO",S!$A:$D,I!$A:$D),3,FALSE)</f>
        <v>UN</v>
      </c>
      <c r="H126" s="29">
        <v>5.9999999999999995E-4</v>
      </c>
      <c r="I126" s="17">
        <f>IF(A126="COMPOSICAO",VLOOKUP("TOTAL - "&amp;B126,COMPOSICAO_AUX_2!$A:$J,10,FALSE),VLOOKUP(B126,I!$A:$D,4,FALSE))</f>
        <v>14.35</v>
      </c>
      <c r="J126" s="80">
        <f t="shared" si="7"/>
        <v>0</v>
      </c>
      <c r="K126" s="81"/>
    </row>
    <row r="127" spans="1:11" ht="15" customHeight="1" x14ac:dyDescent="0.25">
      <c r="A127" s="23" t="s">
        <v>532</v>
      </c>
      <c r="B127" s="24"/>
      <c r="C127" s="24"/>
      <c r="D127" s="24"/>
      <c r="E127" s="24"/>
      <c r="F127" s="24"/>
      <c r="G127" s="25"/>
      <c r="H127" s="26"/>
      <c r="I127" s="27"/>
      <c r="J127" s="80">
        <f>SUM(J108:K126)</f>
        <v>2.9100000000000006</v>
      </c>
      <c r="K127" s="81"/>
    </row>
    <row r="128" spans="1:11" ht="15" customHeight="1" x14ac:dyDescent="0.25">
      <c r="A128" s="3"/>
      <c r="B128" s="3"/>
      <c r="C128" s="3"/>
      <c r="D128" s="3"/>
      <c r="E128" s="3"/>
      <c r="F128" s="3"/>
      <c r="G128" s="3"/>
      <c r="H128" s="3"/>
      <c r="I128" s="3"/>
      <c r="J128" s="3"/>
      <c r="K128" s="3"/>
    </row>
    <row r="129" spans="1:13" ht="15" customHeight="1" x14ac:dyDescent="0.25">
      <c r="A129" s="10" t="s">
        <v>295</v>
      </c>
      <c r="B129" s="10" t="s">
        <v>31</v>
      </c>
      <c r="C129" s="82" t="s">
        <v>7</v>
      </c>
      <c r="D129" s="83"/>
      <c r="E129" s="83"/>
      <c r="F129" s="83"/>
      <c r="G129" s="6" t="s">
        <v>32</v>
      </c>
      <c r="H129" s="6" t="s">
        <v>296</v>
      </c>
      <c r="I129" s="6" t="s">
        <v>297</v>
      </c>
      <c r="J129" s="57" t="s">
        <v>9</v>
      </c>
      <c r="K129" s="58"/>
    </row>
    <row r="130" spans="1:13" ht="15" customHeight="1" x14ac:dyDescent="0.25">
      <c r="A130" s="6" t="s">
        <v>11</v>
      </c>
      <c r="B130" s="6" t="s">
        <v>320</v>
      </c>
      <c r="C130" s="91" t="str">
        <f>VLOOKUP(B130,S!$A:$D,2,FALSE)</f>
        <v>ENCARGOS COMPLEMENTARES - ENCANADOR</v>
      </c>
      <c r="D130" s="91"/>
      <c r="E130" s="91"/>
      <c r="F130" s="92"/>
      <c r="G130" s="6" t="str">
        <f>VLOOKUP(B130,S!$A:$D,3,FALSE)</f>
        <v>H</v>
      </c>
      <c r="H130" s="21"/>
      <c r="I130" s="21">
        <f>J152</f>
        <v>2.8499999999999996</v>
      </c>
      <c r="J130" s="76"/>
      <c r="K130" s="72"/>
      <c r="L130" s="21">
        <f>VLOOKUP(B130,S!$A:$D,4,FALSE)</f>
        <v>2.9</v>
      </c>
      <c r="M130" s="6" t="str">
        <f>IF(ROUND((L130-I130),2)=0,"OK, confere com a tabela.",IF(ROUND((L130-I130),2)&lt;0,"ACIMA ("&amp;TEXT(ROUND(I130*100/L130,4),"0,0000")&amp;" %) da tabela.","ABAIXO ("&amp;TEXT(ROUND(I130*100/L130,4),"0,0000")&amp;" %) da tabela."))</f>
        <v>ABAIXO (98,2759 %) da tabela.</v>
      </c>
    </row>
    <row r="131" spans="1:13" ht="15" customHeight="1" x14ac:dyDescent="0.25">
      <c r="A131" s="16" t="s">
        <v>306</v>
      </c>
      <c r="B131" s="16" t="s">
        <v>519</v>
      </c>
      <c r="C131" s="77" t="str">
        <f>VLOOKUP(B131,IF(A131="COMPOSICAO",S!$A:$D,I!$A:$D),2,FALSE)</f>
        <v>ALMOÇO (PARTICIPAÇÃO DO EMPREGADOR)</v>
      </c>
      <c r="D131" s="77"/>
      <c r="E131" s="77"/>
      <c r="F131" s="77"/>
      <c r="G131" s="16" t="str">
        <f>VLOOKUP(B131,IF(A131="COMPOSICAO",S!$A:$D,I!$A:$D),3,FALSE)</f>
        <v>UN</v>
      </c>
      <c r="H131" s="29">
        <v>0.1018</v>
      </c>
      <c r="I131" s="17">
        <f>IF(A131="COMPOSICAO",VLOOKUP("TOTAL - "&amp;B131,COMPOSICAO_AUX_2!$A:$J,10,FALSE),VLOOKUP(B131,I!$A:$D,4,FALSE))</f>
        <v>10</v>
      </c>
      <c r="J131" s="80">
        <f t="shared" ref="J131:J151" si="8">TRUNC(H131*I131,2)</f>
        <v>1.01</v>
      </c>
      <c r="K131" s="81"/>
    </row>
    <row r="132" spans="1:13" ht="15" customHeight="1" x14ac:dyDescent="0.25">
      <c r="A132" s="16" t="s">
        <v>306</v>
      </c>
      <c r="B132" s="16" t="s">
        <v>520</v>
      </c>
      <c r="C132" s="77" t="str">
        <f>VLOOKUP(B132,IF(A132="COMPOSICAO",S!$A:$D,I!$A:$D),2,FALSE)</f>
        <v>FARDAMENTO</v>
      </c>
      <c r="D132" s="77"/>
      <c r="E132" s="77"/>
      <c r="F132" s="77"/>
      <c r="G132" s="16" t="str">
        <f>VLOOKUP(B132,IF(A132="COMPOSICAO",S!$A:$D,I!$A:$D),3,FALSE)</f>
        <v>UN</v>
      </c>
      <c r="H132" s="29">
        <v>1.5E-3</v>
      </c>
      <c r="I132" s="17">
        <f>IF(A132="COMPOSICAO",VLOOKUP("TOTAL - "&amp;B132,COMPOSICAO_AUX_2!$A:$J,10,FALSE),VLOOKUP(B132,I!$A:$D,4,FALSE))</f>
        <v>78.53</v>
      </c>
      <c r="J132" s="80">
        <f t="shared" si="8"/>
        <v>0.11</v>
      </c>
      <c r="K132" s="81"/>
    </row>
    <row r="133" spans="1:13" ht="15" customHeight="1" x14ac:dyDescent="0.25">
      <c r="A133" s="16" t="s">
        <v>306</v>
      </c>
      <c r="B133" s="16" t="s">
        <v>521</v>
      </c>
      <c r="C133" s="77" t="str">
        <f>VLOOKUP(B133,IF(A133="COMPOSICAO",S!$A:$D,I!$A:$D),2,FALSE)</f>
        <v>ÓCULOS BRANCO PROTEÇÃO</v>
      </c>
      <c r="D133" s="77"/>
      <c r="E133" s="77"/>
      <c r="F133" s="77"/>
      <c r="G133" s="16" t="str">
        <f>VLOOKUP(B133,IF(A133="COMPOSICAO",S!$A:$D,I!$A:$D),3,FALSE)</f>
        <v>PR</v>
      </c>
      <c r="H133" s="29">
        <v>8.0000000000000004E-4</v>
      </c>
      <c r="I133" s="17">
        <f>IF(A133="COMPOSICAO",VLOOKUP("TOTAL - "&amp;B133,COMPOSICAO_AUX_2!$A:$J,10,FALSE),VLOOKUP(B133,I!$A:$D,4,FALSE))</f>
        <v>5.9</v>
      </c>
      <c r="J133" s="80">
        <f t="shared" si="8"/>
        <v>0</v>
      </c>
      <c r="K133" s="81"/>
    </row>
    <row r="134" spans="1:13" ht="15" customHeight="1" x14ac:dyDescent="0.25">
      <c r="A134" s="16" t="s">
        <v>306</v>
      </c>
      <c r="B134" s="16" t="s">
        <v>522</v>
      </c>
      <c r="C134" s="77" t="str">
        <f>VLOOKUP(B134,IF(A134="COMPOSICAO",S!$A:$D,I!$A:$D),2,FALSE)</f>
        <v>VALE TRANSPORTE</v>
      </c>
      <c r="D134" s="77"/>
      <c r="E134" s="77"/>
      <c r="F134" s="77"/>
      <c r="G134" s="16" t="str">
        <f>VLOOKUP(B134,IF(A134="COMPOSICAO",S!$A:$D,I!$A:$D),3,FALSE)</f>
        <v>UN</v>
      </c>
      <c r="H134" s="29">
        <v>6.54E-2</v>
      </c>
      <c r="I134" s="17">
        <f>IF(A134="COMPOSICAO",VLOOKUP("TOTAL - "&amp;B134,COMPOSICAO_AUX_2!$A:$J,10,FALSE),VLOOKUP(B134,I!$A:$D,4,FALSE))</f>
        <v>4</v>
      </c>
      <c r="J134" s="80">
        <f t="shared" si="8"/>
        <v>0.26</v>
      </c>
      <c r="K134" s="81"/>
    </row>
    <row r="135" spans="1:13" ht="15" customHeight="1" x14ac:dyDescent="0.25">
      <c r="A135" s="16" t="s">
        <v>306</v>
      </c>
      <c r="B135" s="16" t="s">
        <v>525</v>
      </c>
      <c r="C135" s="77" t="str">
        <f>VLOOKUP(B135,IF(A135="COMPOSICAO",S!$A:$D,I!$A:$D),2,FALSE)</f>
        <v>SEGURO DE VIDA E ACIDENTE EM GRUPO</v>
      </c>
      <c r="D135" s="77"/>
      <c r="E135" s="77"/>
      <c r="F135" s="77"/>
      <c r="G135" s="16" t="str">
        <f>VLOOKUP(B135,IF(A135="COMPOSICAO",S!$A:$D,I!$A:$D),3,FALSE)</f>
        <v>UN</v>
      </c>
      <c r="H135" s="29">
        <v>4.4999999999999997E-3</v>
      </c>
      <c r="I135" s="17">
        <f>IF(A135="COMPOSICAO",VLOOKUP("TOTAL - "&amp;B135,COMPOSICAO_AUX_2!$A:$J,10,FALSE),VLOOKUP(B135,I!$A:$D,4,FALSE))</f>
        <v>12.54</v>
      </c>
      <c r="J135" s="80">
        <f t="shared" si="8"/>
        <v>0.05</v>
      </c>
      <c r="K135" s="81"/>
    </row>
    <row r="136" spans="1:13" ht="15" customHeight="1" x14ac:dyDescent="0.25">
      <c r="A136" s="16" t="s">
        <v>306</v>
      </c>
      <c r="B136" s="16" t="s">
        <v>526</v>
      </c>
      <c r="C136" s="77" t="str">
        <f>VLOOKUP(B136,IF(A136="COMPOSICAO",S!$A:$D,I!$A:$D),2,FALSE)</f>
        <v>CESTA BÁSICA</v>
      </c>
      <c r="D136" s="77"/>
      <c r="E136" s="77"/>
      <c r="F136" s="77"/>
      <c r="G136" s="16" t="str">
        <f>VLOOKUP(B136,IF(A136="COMPOSICAO",S!$A:$D,I!$A:$D),3,FALSE)</f>
        <v>UN</v>
      </c>
      <c r="H136" s="29">
        <v>4.4999999999999997E-3</v>
      </c>
      <c r="I136" s="17">
        <f>IF(A136="COMPOSICAO",VLOOKUP("TOTAL - "&amp;B136,COMPOSICAO_AUX_2!$A:$J,10,FALSE),VLOOKUP(B136,I!$A:$D,4,FALSE))</f>
        <v>140</v>
      </c>
      <c r="J136" s="80">
        <f t="shared" si="8"/>
        <v>0.63</v>
      </c>
      <c r="K136" s="81"/>
    </row>
    <row r="137" spans="1:13" ht="15" customHeight="1" x14ac:dyDescent="0.25">
      <c r="A137" s="16" t="s">
        <v>306</v>
      </c>
      <c r="B137" s="16" t="s">
        <v>527</v>
      </c>
      <c r="C137" s="77" t="str">
        <f>VLOOKUP(B137,IF(A137="COMPOSICAO",S!$A:$D,I!$A:$D),2,FALSE)</f>
        <v>EXAMES ADMISSIONAIS/DEMISSIONAIS (CHECKUP)</v>
      </c>
      <c r="D137" s="77"/>
      <c r="E137" s="77"/>
      <c r="F137" s="77"/>
      <c r="G137" s="16" t="str">
        <f>VLOOKUP(B137,IF(A137="COMPOSICAO",S!$A:$D,I!$A:$D),3,FALSE)</f>
        <v>CJ</v>
      </c>
      <c r="H137" s="29">
        <v>4.0000000000000002E-4</v>
      </c>
      <c r="I137" s="17">
        <f>IF(A137="COMPOSICAO",VLOOKUP("TOTAL - "&amp;B137,COMPOSICAO_AUX_2!$A:$J,10,FALSE),VLOOKUP(B137,I!$A:$D,4,FALSE))</f>
        <v>300</v>
      </c>
      <c r="J137" s="80">
        <f t="shared" si="8"/>
        <v>0.12</v>
      </c>
      <c r="K137" s="81"/>
    </row>
    <row r="138" spans="1:13" ht="15" customHeight="1" x14ac:dyDescent="0.25">
      <c r="A138" s="16" t="s">
        <v>306</v>
      </c>
      <c r="B138" s="16" t="s">
        <v>533</v>
      </c>
      <c r="C138" s="77" t="str">
        <f>VLOOKUP(B138,IF(A138="COMPOSICAO",S!$A:$D,I!$A:$D),2,FALSE)</f>
        <v>LIMA CHATA 12"</v>
      </c>
      <c r="D138" s="77"/>
      <c r="E138" s="77"/>
      <c r="F138" s="77"/>
      <c r="G138" s="16" t="str">
        <f>VLOOKUP(B138,IF(A138="COMPOSICAO",S!$A:$D,I!$A:$D),3,FALSE)</f>
        <v>UN</v>
      </c>
      <c r="H138" s="29">
        <v>1E-4</v>
      </c>
      <c r="I138" s="17">
        <f>IF(A138="COMPOSICAO",VLOOKUP("TOTAL - "&amp;B138,COMPOSICAO_AUX_2!$A:$J,10,FALSE),VLOOKUP(B138,I!$A:$D,4,FALSE))</f>
        <v>32.25</v>
      </c>
      <c r="J138" s="80">
        <f t="shared" si="8"/>
        <v>0</v>
      </c>
      <c r="K138" s="81"/>
    </row>
    <row r="139" spans="1:13" ht="15" customHeight="1" x14ac:dyDescent="0.25">
      <c r="A139" s="16" t="s">
        <v>306</v>
      </c>
      <c r="B139" s="16" t="s">
        <v>534</v>
      </c>
      <c r="C139" s="77" t="str">
        <f>VLOOKUP(B139,IF(A139="COMPOSICAO",S!$A:$D,I!$A:$D),2,FALSE)</f>
        <v>PRAIO SIMPLES 30CM</v>
      </c>
      <c r="D139" s="77"/>
      <c r="E139" s="77"/>
      <c r="F139" s="77"/>
      <c r="G139" s="16" t="str">
        <f>VLOOKUP(B139,IF(A139="COMPOSICAO",S!$A:$D,I!$A:$D),3,FALSE)</f>
        <v>UN</v>
      </c>
      <c r="H139" s="29">
        <v>1E-4</v>
      </c>
      <c r="I139" s="17">
        <f>IF(A139="COMPOSICAO",VLOOKUP("TOTAL - "&amp;B139,COMPOSICAO_AUX_2!$A:$J,10,FALSE),VLOOKUP(B139,I!$A:$D,4,FALSE))</f>
        <v>19.57</v>
      </c>
      <c r="J139" s="80">
        <f t="shared" si="8"/>
        <v>0</v>
      </c>
      <c r="K139" s="81"/>
    </row>
    <row r="140" spans="1:13" ht="15" customHeight="1" x14ac:dyDescent="0.25">
      <c r="A140" s="16" t="s">
        <v>306</v>
      </c>
      <c r="B140" s="16" t="s">
        <v>528</v>
      </c>
      <c r="C140" s="77" t="str">
        <f>VLOOKUP(B140,IF(A140="COMPOSICAO",S!$A:$D,I!$A:$D),2,FALSE)</f>
        <v>PROTETOR AURICULAR</v>
      </c>
      <c r="D140" s="77"/>
      <c r="E140" s="77"/>
      <c r="F140" s="77"/>
      <c r="G140" s="16" t="str">
        <f>VLOOKUP(B140,IF(A140="COMPOSICAO",S!$A:$D,I!$A:$D),3,FALSE)</f>
        <v>UN</v>
      </c>
      <c r="H140" s="29">
        <v>4.4999999999999997E-3</v>
      </c>
      <c r="I140" s="17">
        <f>IF(A140="COMPOSICAO",VLOOKUP("TOTAL - "&amp;B140,COMPOSICAO_AUX_2!$A:$J,10,FALSE),VLOOKUP(B140,I!$A:$D,4,FALSE))</f>
        <v>4.9000000000000004</v>
      </c>
      <c r="J140" s="80">
        <f t="shared" si="8"/>
        <v>0.02</v>
      </c>
      <c r="K140" s="81"/>
    </row>
    <row r="141" spans="1:13" ht="15" customHeight="1" x14ac:dyDescent="0.25">
      <c r="A141" s="16" t="s">
        <v>306</v>
      </c>
      <c r="B141" s="16" t="s">
        <v>529</v>
      </c>
      <c r="C141" s="77" t="str">
        <f>VLOOKUP(B141,IF(A141="COMPOSICAO",S!$A:$D,I!$A:$D),2,FALSE)</f>
        <v>PROTETOR SOLAR FPS 30 COM 120ML</v>
      </c>
      <c r="D141" s="77"/>
      <c r="E141" s="77"/>
      <c r="F141" s="77"/>
      <c r="G141" s="16" t="str">
        <f>VLOOKUP(B141,IF(A141="COMPOSICAO",S!$A:$D,I!$A:$D),3,FALSE)</f>
        <v>UN</v>
      </c>
      <c r="H141" s="29">
        <v>1.8E-3</v>
      </c>
      <c r="I141" s="17">
        <f>IF(A141="COMPOSICAO",VLOOKUP("TOTAL - "&amp;B141,COMPOSICAO_AUX_2!$A:$J,10,FALSE),VLOOKUP(B141,I!$A:$D,4,FALSE))</f>
        <v>35.9</v>
      </c>
      <c r="J141" s="80">
        <f t="shared" si="8"/>
        <v>0.06</v>
      </c>
      <c r="K141" s="81"/>
    </row>
    <row r="142" spans="1:13" ht="30" customHeight="1" x14ac:dyDescent="0.25">
      <c r="A142" s="16" t="s">
        <v>306</v>
      </c>
      <c r="B142" s="16" t="s">
        <v>530</v>
      </c>
      <c r="C142" s="77" t="str">
        <f>VLOOKUP(B142,IF(A142="COMPOSICAO",S!$A:$D,I!$A:$D),2,FALSE)</f>
        <v>REFEIÇÃO - CAFÉ DA MANHÃ ( CAFÉ COM LEITE E DOIS PÃES COM MANTEIGA)</v>
      </c>
      <c r="D142" s="77"/>
      <c r="E142" s="77"/>
      <c r="F142" s="77"/>
      <c r="G142" s="16" t="str">
        <f>VLOOKUP(B142,IF(A142="COMPOSICAO",S!$A:$D,I!$A:$D),3,FALSE)</f>
        <v>UN</v>
      </c>
      <c r="H142" s="29">
        <v>0.1018</v>
      </c>
      <c r="I142" s="17">
        <f>IF(A142="COMPOSICAO",VLOOKUP("TOTAL - "&amp;B142,COMPOSICAO_AUX_2!$A:$J,10,FALSE),VLOOKUP(B142,I!$A:$D,4,FALSE))</f>
        <v>4.5</v>
      </c>
      <c r="J142" s="80">
        <f t="shared" si="8"/>
        <v>0.45</v>
      </c>
      <c r="K142" s="81"/>
    </row>
    <row r="143" spans="1:13" ht="15" customHeight="1" x14ac:dyDescent="0.25">
      <c r="A143" s="16" t="s">
        <v>306</v>
      </c>
      <c r="B143" s="16" t="s">
        <v>535</v>
      </c>
      <c r="C143" s="77" t="str">
        <f>VLOOKUP(B143,IF(A143="COMPOSICAO",S!$A:$D,I!$A:$D),2,FALSE)</f>
        <v>TARRACHA PARA TUBOS PVC DE 1/2"</v>
      </c>
      <c r="D143" s="77"/>
      <c r="E143" s="77"/>
      <c r="F143" s="77"/>
      <c r="G143" s="16" t="str">
        <f>VLOOKUP(B143,IF(A143="COMPOSICAO",S!$A:$D,I!$A:$D),3,FALSE)</f>
        <v>UN</v>
      </c>
      <c r="H143" s="29">
        <v>1.1000000000000001E-3</v>
      </c>
      <c r="I143" s="17">
        <f>IF(A143="COMPOSICAO",VLOOKUP("TOTAL - "&amp;B143,COMPOSICAO_AUX_2!$A:$J,10,FALSE),VLOOKUP(B143,I!$A:$D,4,FALSE))</f>
        <v>21</v>
      </c>
      <c r="J143" s="80">
        <f t="shared" si="8"/>
        <v>0.02</v>
      </c>
      <c r="K143" s="81"/>
    </row>
    <row r="144" spans="1:13" ht="15" customHeight="1" x14ac:dyDescent="0.25">
      <c r="A144" s="16" t="s">
        <v>306</v>
      </c>
      <c r="B144" s="16" t="s">
        <v>536</v>
      </c>
      <c r="C144" s="77" t="str">
        <f>VLOOKUP(B144,IF(A144="COMPOSICAO",S!$A:$D,I!$A:$D),2,FALSE)</f>
        <v>TARRACHA PARA TUBOS PVC DE 3/4"</v>
      </c>
      <c r="D144" s="77"/>
      <c r="E144" s="77"/>
      <c r="F144" s="77"/>
      <c r="G144" s="16" t="str">
        <f>VLOOKUP(B144,IF(A144="COMPOSICAO",S!$A:$D,I!$A:$D),3,FALSE)</f>
        <v>UN</v>
      </c>
      <c r="H144" s="29">
        <v>6.9999999999999999E-4</v>
      </c>
      <c r="I144" s="17">
        <f>IF(A144="COMPOSICAO",VLOOKUP("TOTAL - "&amp;B144,COMPOSICAO_AUX_2!$A:$J,10,FALSE),VLOOKUP(B144,I!$A:$D,4,FALSE))</f>
        <v>22.8</v>
      </c>
      <c r="J144" s="80">
        <f t="shared" si="8"/>
        <v>0.01</v>
      </c>
      <c r="K144" s="81"/>
    </row>
    <row r="145" spans="1:13" ht="15" customHeight="1" x14ac:dyDescent="0.25">
      <c r="A145" s="16" t="s">
        <v>306</v>
      </c>
      <c r="B145" s="16" t="s">
        <v>537</v>
      </c>
      <c r="C145" s="77" t="str">
        <f>VLOOKUP(B145,IF(A145="COMPOSICAO",S!$A:$D,I!$A:$D),2,FALSE)</f>
        <v>TARRACHA PARA TUBOS PVC DE 1"</v>
      </c>
      <c r="D145" s="77"/>
      <c r="E145" s="77"/>
      <c r="F145" s="77"/>
      <c r="G145" s="16" t="str">
        <f>VLOOKUP(B145,IF(A145="COMPOSICAO",S!$A:$D,I!$A:$D),3,FALSE)</f>
        <v>UN</v>
      </c>
      <c r="H145" s="29">
        <v>5.9999999999999995E-4</v>
      </c>
      <c r="I145" s="17">
        <f>IF(A145="COMPOSICAO",VLOOKUP("TOTAL - "&amp;B145,COMPOSICAO_AUX_2!$A:$J,10,FALSE),VLOOKUP(B145,I!$A:$D,4,FALSE))</f>
        <v>21.96</v>
      </c>
      <c r="J145" s="80">
        <f t="shared" si="8"/>
        <v>0.01</v>
      </c>
      <c r="K145" s="81"/>
    </row>
    <row r="146" spans="1:13" ht="15" customHeight="1" x14ac:dyDescent="0.25">
      <c r="A146" s="16" t="s">
        <v>306</v>
      </c>
      <c r="B146" s="16" t="s">
        <v>538</v>
      </c>
      <c r="C146" s="77" t="str">
        <f>VLOOKUP(B146,IF(A146="COMPOSICAO",S!$A:$D,I!$A:$D),2,FALSE)</f>
        <v>TARRACHA PARA TUBOS PVC DE 1 1/2"</v>
      </c>
      <c r="D146" s="77"/>
      <c r="E146" s="77"/>
      <c r="F146" s="77"/>
      <c r="G146" s="16" t="str">
        <f>VLOOKUP(B146,IF(A146="COMPOSICAO",S!$A:$D,I!$A:$D),3,FALSE)</f>
        <v>UN</v>
      </c>
      <c r="H146" s="29">
        <v>4.0000000000000002E-4</v>
      </c>
      <c r="I146" s="17">
        <f>IF(A146="COMPOSICAO",VLOOKUP("TOTAL - "&amp;B146,COMPOSICAO_AUX_2!$A:$J,10,FALSE),VLOOKUP(B146,I!$A:$D,4,FALSE))</f>
        <v>60</v>
      </c>
      <c r="J146" s="80">
        <f t="shared" si="8"/>
        <v>0.02</v>
      </c>
      <c r="K146" s="81"/>
    </row>
    <row r="147" spans="1:13" ht="15" customHeight="1" x14ac:dyDescent="0.25">
      <c r="A147" s="16" t="s">
        <v>306</v>
      </c>
      <c r="B147" s="16" t="s">
        <v>539</v>
      </c>
      <c r="C147" s="77" t="str">
        <f>VLOOKUP(B147,IF(A147="COMPOSICAO",S!$A:$D,I!$A:$D),2,FALSE)</f>
        <v>TARRACHA PARA TUBOS PVC DE 1 1/4"</v>
      </c>
      <c r="D147" s="77"/>
      <c r="E147" s="77"/>
      <c r="F147" s="77"/>
      <c r="G147" s="16" t="str">
        <f>VLOOKUP(B147,IF(A147="COMPOSICAO",S!$A:$D,I!$A:$D),3,FALSE)</f>
        <v>UN</v>
      </c>
      <c r="H147" s="29">
        <v>4.0000000000000002E-4</v>
      </c>
      <c r="I147" s="17">
        <f>IF(A147="COMPOSICAO",VLOOKUP("TOTAL - "&amp;B147,COMPOSICAO_AUX_2!$A:$J,10,FALSE),VLOOKUP(B147,I!$A:$D,4,FALSE))</f>
        <v>31.36</v>
      </c>
      <c r="J147" s="80">
        <f t="shared" si="8"/>
        <v>0.01</v>
      </c>
      <c r="K147" s="81"/>
    </row>
    <row r="148" spans="1:13" ht="30" customHeight="1" x14ac:dyDescent="0.25">
      <c r="A148" s="16" t="s">
        <v>306</v>
      </c>
      <c r="B148" s="20">
        <v>12892</v>
      </c>
      <c r="C148" s="77" t="str">
        <f>VLOOKUP(B148,IF(A148="COMPOSICAO",S!$A:$D,I!$A:$D),2,FALSE)</f>
        <v>LUVA RASPA DE COURO, CANO CURTO (PUNHO *7* CM)</v>
      </c>
      <c r="D148" s="77"/>
      <c r="E148" s="77"/>
      <c r="F148" s="77"/>
      <c r="G148" s="16" t="str">
        <f>VLOOKUP(B148,IF(A148="COMPOSICAO",S!$A:$D,I!$A:$D),3,FALSE)</f>
        <v>PAR</v>
      </c>
      <c r="H148" s="29">
        <v>2.3E-3</v>
      </c>
      <c r="I148" s="17">
        <f>IF(A148="COMPOSICAO",VLOOKUP("TOTAL - "&amp;B148,COMPOSICAO_AUX_2!$A:$J,10,FALSE),VLOOKUP(B148,I!$A:$D,4,FALSE))</f>
        <v>12.91</v>
      </c>
      <c r="J148" s="80">
        <f t="shared" si="8"/>
        <v>0.02</v>
      </c>
      <c r="K148" s="81"/>
    </row>
    <row r="149" spans="1:13" ht="30" customHeight="1" x14ac:dyDescent="0.25">
      <c r="A149" s="16" t="s">
        <v>306</v>
      </c>
      <c r="B149" s="20">
        <v>12893</v>
      </c>
      <c r="C149" s="77" t="str">
        <f>VLOOKUP(B149,IF(A149="COMPOSICAO",S!$A:$D,I!$A:$D),2,FALSE)</f>
        <v>BOTA DE SEGURANCA COM BIQUEIRA DE ACO E COLARINHO ACOLCHOADO</v>
      </c>
      <c r="D149" s="77"/>
      <c r="E149" s="77"/>
      <c r="F149" s="77"/>
      <c r="G149" s="16" t="str">
        <f>VLOOKUP(B149,IF(A149="COMPOSICAO",S!$A:$D,I!$A:$D),3,FALSE)</f>
        <v>PAR</v>
      </c>
      <c r="H149" s="29">
        <v>8.0000000000000004E-4</v>
      </c>
      <c r="I149" s="17">
        <f>IF(A149="COMPOSICAO",VLOOKUP("TOTAL - "&amp;B149,COMPOSICAO_AUX_2!$A:$J,10,FALSE),VLOOKUP(B149,I!$A:$D,4,FALSE))</f>
        <v>68.88</v>
      </c>
      <c r="J149" s="80">
        <f t="shared" si="8"/>
        <v>0.05</v>
      </c>
      <c r="K149" s="81"/>
    </row>
    <row r="150" spans="1:13" ht="30" customHeight="1" x14ac:dyDescent="0.25">
      <c r="A150" s="16" t="s">
        <v>306</v>
      </c>
      <c r="B150" s="20">
        <v>12894</v>
      </c>
      <c r="C150" s="77" t="str">
        <f>VLOOKUP(B150,IF(A150="COMPOSICAO",S!$A:$D,I!$A:$D),2,FALSE)</f>
        <v>CAPA PARA CHUVA EM PVC COM FORRO DE POLIESTER, COM CAPUZ (AMARELA OU AZUL)</v>
      </c>
      <c r="D150" s="77"/>
      <c r="E150" s="77"/>
      <c r="F150" s="77"/>
      <c r="G150" s="16" t="str">
        <f>VLOOKUP(B150,IF(A150="COMPOSICAO",S!$A:$D,I!$A:$D),3,FALSE)</f>
        <v>UN</v>
      </c>
      <c r="H150" s="29">
        <v>2.0000000000000001E-4</v>
      </c>
      <c r="I150" s="17">
        <f>IF(A150="COMPOSICAO",VLOOKUP("TOTAL - "&amp;B150,COMPOSICAO_AUX_2!$A:$J,10,FALSE),VLOOKUP(B150,I!$A:$D,4,FALSE))</f>
        <v>18.649999999999999</v>
      </c>
      <c r="J150" s="80">
        <f t="shared" si="8"/>
        <v>0</v>
      </c>
      <c r="K150" s="81"/>
    </row>
    <row r="151" spans="1:13" ht="30" customHeight="1" x14ac:dyDescent="0.25">
      <c r="A151" s="16" t="s">
        <v>306</v>
      </c>
      <c r="B151" s="20">
        <v>12895</v>
      </c>
      <c r="C151" s="77" t="str">
        <f>VLOOKUP(B151,IF(A151="COMPOSICAO",S!$A:$D,I!$A:$D),2,FALSE)</f>
        <v>CAPACETE DE SEGURANCA ABA FRONTAL COM SUSPENSAO DE POLIETILENO, SEM JUGULAR (CLASSE B)</v>
      </c>
      <c r="D151" s="77"/>
      <c r="E151" s="77"/>
      <c r="F151" s="77"/>
      <c r="G151" s="16" t="str">
        <f>VLOOKUP(B151,IF(A151="COMPOSICAO",S!$A:$D,I!$A:$D),3,FALSE)</f>
        <v>UN</v>
      </c>
      <c r="H151" s="29">
        <v>5.9999999999999995E-4</v>
      </c>
      <c r="I151" s="17">
        <f>IF(A151="COMPOSICAO",VLOOKUP("TOTAL - "&amp;B151,COMPOSICAO_AUX_2!$A:$J,10,FALSE),VLOOKUP(B151,I!$A:$D,4,FALSE))</f>
        <v>14.35</v>
      </c>
      <c r="J151" s="80">
        <f t="shared" si="8"/>
        <v>0</v>
      </c>
      <c r="K151" s="81"/>
    </row>
    <row r="152" spans="1:13" ht="15" customHeight="1" x14ac:dyDescent="0.25">
      <c r="A152" s="23" t="s">
        <v>540</v>
      </c>
      <c r="B152" s="24"/>
      <c r="C152" s="24"/>
      <c r="D152" s="24"/>
      <c r="E152" s="24"/>
      <c r="F152" s="24"/>
      <c r="G152" s="25"/>
      <c r="H152" s="26"/>
      <c r="I152" s="27"/>
      <c r="J152" s="80">
        <f>SUM(J130:K151)</f>
        <v>2.8499999999999996</v>
      </c>
      <c r="K152" s="81"/>
    </row>
    <row r="153" spans="1:13" ht="15" customHeight="1" x14ac:dyDescent="0.25">
      <c r="A153" s="3"/>
      <c r="B153" s="3"/>
      <c r="C153" s="3"/>
      <c r="D153" s="3"/>
      <c r="E153" s="3"/>
      <c r="F153" s="3"/>
      <c r="G153" s="3"/>
      <c r="H153" s="3"/>
      <c r="I153" s="3"/>
      <c r="J153" s="3"/>
      <c r="K153" s="3"/>
    </row>
    <row r="154" spans="1:13" ht="15" customHeight="1" x14ac:dyDescent="0.25">
      <c r="A154" s="10" t="s">
        <v>295</v>
      </c>
      <c r="B154" s="10" t="s">
        <v>31</v>
      </c>
      <c r="C154" s="82" t="s">
        <v>7</v>
      </c>
      <c r="D154" s="83"/>
      <c r="E154" s="83"/>
      <c r="F154" s="83"/>
      <c r="G154" s="6" t="s">
        <v>32</v>
      </c>
      <c r="H154" s="6" t="s">
        <v>296</v>
      </c>
      <c r="I154" s="6" t="s">
        <v>297</v>
      </c>
      <c r="J154" s="57" t="s">
        <v>9</v>
      </c>
      <c r="K154" s="58"/>
    </row>
    <row r="155" spans="1:13" ht="30" customHeight="1" x14ac:dyDescent="0.25">
      <c r="A155" s="6" t="s">
        <v>11</v>
      </c>
      <c r="B155" s="6" t="s">
        <v>323</v>
      </c>
      <c r="C155" s="91" t="str">
        <f>VLOOKUP(B155,S!$A:$D,2,FALSE)</f>
        <v>QUADRO DE MEDIÇÃO MONOFÁSICA (ATÉ 6 KVA) COM CAIXA EM NORIL</v>
      </c>
      <c r="D155" s="91"/>
      <c r="E155" s="91"/>
      <c r="F155" s="92"/>
      <c r="G155" s="6" t="str">
        <f>VLOOKUP(B155,S!$A:$D,3,FALSE)</f>
        <v>UN</v>
      </c>
      <c r="H155" s="21"/>
      <c r="I155" s="21">
        <f>J168</f>
        <v>249.31000000000003</v>
      </c>
      <c r="J155" s="76"/>
      <c r="K155" s="72"/>
      <c r="L155" s="21">
        <f>VLOOKUP(B155,S!$A:$D,4,FALSE)</f>
        <v>246.16</v>
      </c>
      <c r="M155" s="6" t="str">
        <f>IF(ROUND((L155-I155),2)=0,"OK, confere com a tabela.",IF(ROUND((L155-I155),2)&lt;0,"ACIMA ("&amp;TEXT(ROUND(I155*100/L155,4),"0,0000")&amp;" %) da tabela.","ABAIXO ("&amp;TEXT(ROUND(I155*100/L155,4),"0,0000")&amp;" %) da tabela."))</f>
        <v>ACIMA (101,2797 %) da tabela.</v>
      </c>
    </row>
    <row r="156" spans="1:13" ht="15" customHeight="1" x14ac:dyDescent="0.25">
      <c r="A156" s="16" t="s">
        <v>306</v>
      </c>
      <c r="B156" s="16" t="s">
        <v>541</v>
      </c>
      <c r="C156" s="77" t="str">
        <f>VLOOKUP(B156,IF(A156="COMPOSICAO",S!$A:$D,I!$A:$D),2,FALSE)</f>
        <v>ARRUELA DE ALUMÍNIO P/ELETRODUTO D= 3/4"</v>
      </c>
      <c r="D156" s="77"/>
      <c r="E156" s="77"/>
      <c r="F156" s="77"/>
      <c r="G156" s="16" t="str">
        <f>VLOOKUP(B156,IF(A156="COMPOSICAO",S!$A:$D,I!$A:$D),3,FALSE)</f>
        <v>UN</v>
      </c>
      <c r="H156" s="17">
        <v>3</v>
      </c>
      <c r="I156" s="17">
        <f>IF(A156="COMPOSICAO",VLOOKUP("TOTAL - "&amp;B156,COMPOSICAO_AUX_2!$A:$J,10,FALSE),VLOOKUP(B156,I!$A:$D,4,FALSE))</f>
        <v>0.5</v>
      </c>
      <c r="J156" s="80">
        <f t="shared" ref="J156:J167" si="9">TRUNC(H156*I156,2)</f>
        <v>1.5</v>
      </c>
      <c r="K156" s="81"/>
    </row>
    <row r="157" spans="1:13" ht="30" customHeight="1" x14ac:dyDescent="0.25">
      <c r="A157" s="16" t="s">
        <v>306</v>
      </c>
      <c r="B157" s="16" t="s">
        <v>542</v>
      </c>
      <c r="C157" s="77" t="str">
        <f>VLOOKUP(B157,IF(A157="COMPOSICAO",S!$A:$D,I!$A:$D),2,FALSE)</f>
        <v>CAIXA DE MEDICAO MONOFÁSICA, EM NORIL (POLICARBONATO)</v>
      </c>
      <c r="D157" s="77"/>
      <c r="E157" s="77"/>
      <c r="F157" s="77"/>
      <c r="G157" s="16" t="str">
        <f>VLOOKUP(B157,IF(A157="COMPOSICAO",S!$A:$D,I!$A:$D),3,FALSE)</f>
        <v>UN</v>
      </c>
      <c r="H157" s="17">
        <v>1</v>
      </c>
      <c r="I157" s="17">
        <f>IF(A157="COMPOSICAO",VLOOKUP("TOTAL - "&amp;B157,COMPOSICAO_AUX_2!$A:$J,10,FALSE),VLOOKUP(B157,I!$A:$D,4,FALSE))</f>
        <v>54.9</v>
      </c>
      <c r="J157" s="80">
        <f t="shared" si="9"/>
        <v>54.9</v>
      </c>
      <c r="K157" s="81"/>
    </row>
    <row r="158" spans="1:13" ht="15" customHeight="1" x14ac:dyDescent="0.25">
      <c r="A158" s="16" t="s">
        <v>306</v>
      </c>
      <c r="B158" s="16" t="s">
        <v>543</v>
      </c>
      <c r="C158" s="77" t="str">
        <f>VLOOKUP(B158,IF(A158="COMPOSICAO",S!$A:$D,I!$A:$D),2,FALSE)</f>
        <v>CONECTOR P/ HASTE DE ATERRAMENTO 3/4"</v>
      </c>
      <c r="D158" s="77"/>
      <c r="E158" s="77"/>
      <c r="F158" s="77"/>
      <c r="G158" s="16" t="str">
        <f>VLOOKUP(B158,IF(A158="COMPOSICAO",S!$A:$D,I!$A:$D),3,FALSE)</f>
        <v>UN</v>
      </c>
      <c r="H158" s="17">
        <v>1</v>
      </c>
      <c r="I158" s="17">
        <f>IF(A158="COMPOSICAO",VLOOKUP("TOTAL - "&amp;B158,COMPOSICAO_AUX_2!$A:$J,10,FALSE),VLOOKUP(B158,I!$A:$D,4,FALSE))</f>
        <v>8</v>
      </c>
      <c r="J158" s="80">
        <f t="shared" si="9"/>
        <v>8</v>
      </c>
      <c r="K158" s="81"/>
    </row>
    <row r="159" spans="1:13" ht="15" customHeight="1" x14ac:dyDescent="0.25">
      <c r="A159" s="16" t="s">
        <v>306</v>
      </c>
      <c r="B159" s="16" t="s">
        <v>544</v>
      </c>
      <c r="C159" s="77" t="str">
        <f>VLOOKUP(B159,IF(A159="COMPOSICAO",S!$A:$D,I!$A:$D),2,FALSE)</f>
        <v>ELETRODUTO CONDULETE PVC RÍGIDO, D= 3/4"</v>
      </c>
      <c r="D159" s="77"/>
      <c r="E159" s="77"/>
      <c r="F159" s="77"/>
      <c r="G159" s="16" t="str">
        <f>VLOOKUP(B159,IF(A159="COMPOSICAO",S!$A:$D,I!$A:$D),3,FALSE)</f>
        <v>M</v>
      </c>
      <c r="H159" s="17">
        <v>1.5</v>
      </c>
      <c r="I159" s="17">
        <f>IF(A159="COMPOSICAO",VLOOKUP("TOTAL - "&amp;B159,COMPOSICAO_AUX_2!$A:$J,10,FALSE),VLOOKUP(B159,I!$A:$D,4,FALSE))</f>
        <v>7.3</v>
      </c>
      <c r="J159" s="80">
        <f t="shared" si="9"/>
        <v>10.95</v>
      </c>
      <c r="K159" s="81"/>
    </row>
    <row r="160" spans="1:13" ht="30" customHeight="1" x14ac:dyDescent="0.25">
      <c r="A160" s="16" t="s">
        <v>306</v>
      </c>
      <c r="B160" s="16" t="s">
        <v>545</v>
      </c>
      <c r="C160" s="77" t="str">
        <f>VLOOKUP(B160,IF(A160="COMPOSICAO",S!$A:$D,I!$A:$D),2,FALSE)</f>
        <v>FIO DE COBRE NU TIPO CORDOALHA PARA ATERRAMENTO - 10MM2</v>
      </c>
      <c r="D160" s="77"/>
      <c r="E160" s="77"/>
      <c r="F160" s="77"/>
      <c r="G160" s="16" t="str">
        <f>VLOOKUP(B160,IF(A160="COMPOSICAO",S!$A:$D,I!$A:$D),3,FALSE)</f>
        <v>M</v>
      </c>
      <c r="H160" s="17">
        <v>2</v>
      </c>
      <c r="I160" s="17">
        <f>IF(A160="COMPOSICAO",VLOOKUP("TOTAL - "&amp;B160,COMPOSICAO_AUX_2!$A:$J,10,FALSE),VLOOKUP(B160,I!$A:$D,4,FALSE))</f>
        <v>5.3</v>
      </c>
      <c r="J160" s="80">
        <f t="shared" si="9"/>
        <v>10.6</v>
      </c>
      <c r="K160" s="81"/>
    </row>
    <row r="161" spans="1:13" ht="30" customHeight="1" x14ac:dyDescent="0.25">
      <c r="A161" s="16" t="s">
        <v>306</v>
      </c>
      <c r="B161" s="16" t="s">
        <v>546</v>
      </c>
      <c r="C161" s="77" t="str">
        <f>VLOOKUP(B161,IF(A161="COMPOSICAO",S!$A:$D,I!$A:$D),2,FALSE)</f>
        <v>HASTE COBREADA COPPERWELD P/ ATERRAMENTO 254 MICR D= 5/8" X 2,40 M</v>
      </c>
      <c r="D161" s="77"/>
      <c r="E161" s="77"/>
      <c r="F161" s="77"/>
      <c r="G161" s="16" t="str">
        <f>VLOOKUP(B161,IF(A161="COMPOSICAO",S!$A:$D,I!$A:$D),3,FALSE)</f>
        <v>UN</v>
      </c>
      <c r="H161" s="17">
        <v>1</v>
      </c>
      <c r="I161" s="17">
        <f>IF(A161="COMPOSICAO",VLOOKUP("TOTAL - "&amp;B161,COMPOSICAO_AUX_2!$A:$J,10,FALSE),VLOOKUP(B161,I!$A:$D,4,FALSE))</f>
        <v>29.6</v>
      </c>
      <c r="J161" s="80">
        <f t="shared" si="9"/>
        <v>29.6</v>
      </c>
      <c r="K161" s="81"/>
    </row>
    <row r="162" spans="1:13" ht="45" customHeight="1" x14ac:dyDescent="0.25">
      <c r="A162" s="16" t="s">
        <v>306</v>
      </c>
      <c r="B162" s="20">
        <v>940</v>
      </c>
      <c r="C162" s="77" t="str">
        <f>VLOOKUP(B162,IF(A162="COMPOSICAO",S!$A:$D,I!$A:$D),2,FALSE)</f>
        <v>FIO DE COBRE, SOLIDO, CLASSE 1, ISOLACAO EM PVC/A, ANTICHAMA BWF-B, 450/750V, SECAO NOMINAL 6 MM2</v>
      </c>
      <c r="D162" s="77"/>
      <c r="E162" s="77"/>
      <c r="F162" s="77"/>
      <c r="G162" s="16" t="str">
        <f>VLOOKUP(B162,IF(A162="COMPOSICAO",S!$A:$D,I!$A:$D),3,FALSE)</f>
        <v>M</v>
      </c>
      <c r="H162" s="17">
        <v>1</v>
      </c>
      <c r="I162" s="17">
        <f>IF(A162="COMPOSICAO",VLOOKUP("TOTAL - "&amp;B162,COMPOSICAO_AUX_2!$A:$J,10,FALSE),VLOOKUP(B162,I!$A:$D,4,FALSE))</f>
        <v>5.6</v>
      </c>
      <c r="J162" s="80">
        <f t="shared" si="9"/>
        <v>5.6</v>
      </c>
      <c r="K162" s="81"/>
    </row>
    <row r="163" spans="1:13" ht="15" customHeight="1" x14ac:dyDescent="0.25">
      <c r="A163" s="16" t="s">
        <v>306</v>
      </c>
      <c r="B163" s="20">
        <v>2436</v>
      </c>
      <c r="C163" s="77" t="str">
        <f>VLOOKUP(B163,IF(A163="COMPOSICAO",S!$A:$D,I!$A:$D),2,FALSE)</f>
        <v>ELETRICISTA</v>
      </c>
      <c r="D163" s="77"/>
      <c r="E163" s="77"/>
      <c r="F163" s="77"/>
      <c r="G163" s="16" t="str">
        <f>VLOOKUP(B163,IF(A163="COMPOSICAO",S!$A:$D,I!$A:$D),3,FALSE)</f>
        <v>H</v>
      </c>
      <c r="H163" s="17">
        <v>4</v>
      </c>
      <c r="I163" s="17">
        <f>IF(A163="COMPOSICAO",VLOOKUP("TOTAL - "&amp;B163,COMPOSICAO_AUX_2!$A:$J,10,FALSE),VLOOKUP(B163,I!$A:$D,4,FALSE))</f>
        <v>14.93</v>
      </c>
      <c r="J163" s="80">
        <f t="shared" si="9"/>
        <v>59.72</v>
      </c>
      <c r="K163" s="81"/>
    </row>
    <row r="164" spans="1:13" ht="15" customHeight="1" x14ac:dyDescent="0.25">
      <c r="A164" s="16" t="s">
        <v>306</v>
      </c>
      <c r="B164" s="20">
        <v>6111</v>
      </c>
      <c r="C164" s="77" t="str">
        <f>VLOOKUP(B164,IF(A164="COMPOSICAO",S!$A:$D,I!$A:$D),2,FALSE)</f>
        <v>SERVENTE DE OBRAS</v>
      </c>
      <c r="D164" s="77"/>
      <c r="E164" s="77"/>
      <c r="F164" s="77"/>
      <c r="G164" s="16" t="str">
        <f>VLOOKUP(B164,IF(A164="COMPOSICAO",S!$A:$D,I!$A:$D),3,FALSE)</f>
        <v>H</v>
      </c>
      <c r="H164" s="17">
        <v>4</v>
      </c>
      <c r="I164" s="17">
        <f>IF(A164="COMPOSICAO",VLOOKUP("TOTAL - "&amp;B164,COMPOSICAO_AUX_2!$A:$J,10,FALSE),VLOOKUP(B164,I!$A:$D,4,FALSE))</f>
        <v>10.6</v>
      </c>
      <c r="J164" s="80">
        <f t="shared" si="9"/>
        <v>42.4</v>
      </c>
      <c r="K164" s="81"/>
    </row>
    <row r="165" spans="1:13" ht="30" customHeight="1" x14ac:dyDescent="0.25">
      <c r="A165" s="16" t="s">
        <v>306</v>
      </c>
      <c r="B165" s="20">
        <v>39175</v>
      </c>
      <c r="C165" s="77" t="str">
        <f>VLOOKUP(B165,IF(A165="COMPOSICAO",S!$A:$D,I!$A:$D),2,FALSE)</f>
        <v>BUCHA EM ALUMINIO, COM ROSCA, DE 3/4", PARA ELETRODUTO</v>
      </c>
      <c r="D165" s="77"/>
      <c r="E165" s="77"/>
      <c r="F165" s="77"/>
      <c r="G165" s="16" t="str">
        <f>VLOOKUP(B165,IF(A165="COMPOSICAO",S!$A:$D,I!$A:$D),3,FALSE)</f>
        <v>UN</v>
      </c>
      <c r="H165" s="17">
        <v>3</v>
      </c>
      <c r="I165" s="17">
        <f>IF(A165="COMPOSICAO",VLOOKUP("TOTAL - "&amp;B165,COMPOSICAO_AUX_2!$A:$J,10,FALSE),VLOOKUP(B165,I!$A:$D,4,FALSE))</f>
        <v>1.08</v>
      </c>
      <c r="J165" s="80">
        <f t="shared" si="9"/>
        <v>3.24</v>
      </c>
      <c r="K165" s="81"/>
    </row>
    <row r="166" spans="1:13" ht="15" customHeight="1" x14ac:dyDescent="0.25">
      <c r="A166" s="16" t="s">
        <v>302</v>
      </c>
      <c r="B166" s="16" t="s">
        <v>319</v>
      </c>
      <c r="C166" s="77" t="str">
        <f>VLOOKUP(B166,IF(A166="COMPOSICAO",S!$A:$D,I!$A:$D),2,FALSE)</f>
        <v>ENCARGOS COMPLEMENTARES - SERVENTE</v>
      </c>
      <c r="D166" s="77"/>
      <c r="E166" s="77"/>
      <c r="F166" s="77"/>
      <c r="G166" s="16" t="str">
        <f>VLOOKUP(B166,IF(A166="COMPOSICAO",S!$A:$D,I!$A:$D),3,FALSE)</f>
        <v>H</v>
      </c>
      <c r="H166" s="17">
        <v>4</v>
      </c>
      <c r="I166" s="17">
        <f>IF(A166="COMPOSICAO",VLOOKUP("TOTAL - "&amp;B166,COMPOSICAO_AUX_2!$A:$J,10,FALSE),VLOOKUP(B166,I!$A:$D,4,FALSE))</f>
        <v>2.9100000000000006</v>
      </c>
      <c r="J166" s="80">
        <f t="shared" si="9"/>
        <v>11.64</v>
      </c>
      <c r="K166" s="81"/>
    </row>
    <row r="167" spans="1:13" ht="15" customHeight="1" x14ac:dyDescent="0.25">
      <c r="A167" s="16" t="s">
        <v>302</v>
      </c>
      <c r="B167" s="16" t="s">
        <v>467</v>
      </c>
      <c r="C167" s="77" t="str">
        <f>VLOOKUP(B167,IF(A167="COMPOSICAO",S!$A:$D,I!$A:$D),2,FALSE)</f>
        <v>ENCARGOS COMPLEMENTARES - ELETRICISTA</v>
      </c>
      <c r="D167" s="77"/>
      <c r="E167" s="77"/>
      <c r="F167" s="77"/>
      <c r="G167" s="16" t="str">
        <f>VLOOKUP(B167,IF(A167="COMPOSICAO",S!$A:$D,I!$A:$D),3,FALSE)</f>
        <v>H</v>
      </c>
      <c r="H167" s="17">
        <v>4</v>
      </c>
      <c r="I167" s="17">
        <f>IF(A167="COMPOSICAO",VLOOKUP("TOTAL - "&amp;B167,COMPOSICAO_AUX_2!$A:$J,10,FALSE),VLOOKUP(B167,I!$A:$D,4,FALSE))</f>
        <v>2.7900000000000005</v>
      </c>
      <c r="J167" s="80">
        <f t="shared" si="9"/>
        <v>11.16</v>
      </c>
      <c r="K167" s="81"/>
    </row>
    <row r="168" spans="1:13" ht="15" customHeight="1" x14ac:dyDescent="0.25">
      <c r="A168" s="23" t="s">
        <v>547</v>
      </c>
      <c r="B168" s="24"/>
      <c r="C168" s="24"/>
      <c r="D168" s="24"/>
      <c r="E168" s="24"/>
      <c r="F168" s="24"/>
      <c r="G168" s="25"/>
      <c r="H168" s="26"/>
      <c r="I168" s="27"/>
      <c r="J168" s="80">
        <f>SUM(J155:K167)</f>
        <v>249.31000000000003</v>
      </c>
      <c r="K168" s="81"/>
    </row>
    <row r="169" spans="1:13" ht="15" customHeight="1" x14ac:dyDescent="0.25">
      <c r="A169" s="3"/>
      <c r="B169" s="3"/>
      <c r="C169" s="3"/>
      <c r="D169" s="3"/>
      <c r="E169" s="3"/>
      <c r="F169" s="3"/>
      <c r="G169" s="3"/>
      <c r="H169" s="3"/>
      <c r="I169" s="3"/>
      <c r="J169" s="3"/>
      <c r="K169" s="3"/>
    </row>
    <row r="170" spans="1:13" ht="15" customHeight="1" x14ac:dyDescent="0.25">
      <c r="A170" s="10" t="s">
        <v>295</v>
      </c>
      <c r="B170" s="10" t="s">
        <v>31</v>
      </c>
      <c r="C170" s="82" t="s">
        <v>7</v>
      </c>
      <c r="D170" s="83"/>
      <c r="E170" s="83"/>
      <c r="F170" s="83"/>
      <c r="G170" s="6" t="s">
        <v>32</v>
      </c>
      <c r="H170" s="6" t="s">
        <v>296</v>
      </c>
      <c r="I170" s="6" t="s">
        <v>297</v>
      </c>
      <c r="J170" s="57" t="s">
        <v>9</v>
      </c>
      <c r="K170" s="58"/>
    </row>
    <row r="171" spans="1:13" ht="30" customHeight="1" x14ac:dyDescent="0.25">
      <c r="A171" s="6" t="s">
        <v>11</v>
      </c>
      <c r="B171" s="6" t="s">
        <v>324</v>
      </c>
      <c r="C171" s="91" t="str">
        <f>VLOOKUP(B171,S!$A:$D,2,FALSE)</f>
        <v>ELETRODUTO DE PVC RÍGIDO ROSCÁVEL, DIÂM = 25MM (3/4")</v>
      </c>
      <c r="D171" s="91"/>
      <c r="E171" s="91"/>
      <c r="F171" s="92"/>
      <c r="G171" s="6" t="str">
        <f>VLOOKUP(B171,S!$A:$D,3,FALSE)</f>
        <v>M</v>
      </c>
      <c r="H171" s="21"/>
      <c r="I171" s="21">
        <f>J177</f>
        <v>9.8200000000000021</v>
      </c>
      <c r="J171" s="76"/>
      <c r="K171" s="72"/>
      <c r="L171" s="21">
        <f>VLOOKUP(B171,S!$A:$D,4,FALSE)</f>
        <v>9.98</v>
      </c>
      <c r="M171" s="6" t="str">
        <f>IF(ROUND((L171-I171),2)=0,"OK, confere com a tabela.",IF(ROUND((L171-I171),2)&lt;0,"ACIMA ("&amp;TEXT(ROUND(I171*100/L171,4),"0,0000")&amp;" %) da tabela.","ABAIXO ("&amp;TEXT(ROUND(I171*100/L171,4),"0,0000")&amp;" %) da tabela."))</f>
        <v>ABAIXO (98,3968 %) da tabela.</v>
      </c>
    </row>
    <row r="172" spans="1:13" ht="15" customHeight="1" x14ac:dyDescent="0.25">
      <c r="A172" s="16" t="s">
        <v>306</v>
      </c>
      <c r="B172" s="20">
        <v>2436</v>
      </c>
      <c r="C172" s="77" t="str">
        <f>VLOOKUP(B172,IF(A172="COMPOSICAO",S!$A:$D,I!$A:$D),2,FALSE)</f>
        <v>ELETRICISTA</v>
      </c>
      <c r="D172" s="77"/>
      <c r="E172" s="77"/>
      <c r="F172" s="77"/>
      <c r="G172" s="16" t="str">
        <f>VLOOKUP(B172,IF(A172="COMPOSICAO",S!$A:$D,I!$A:$D),3,FALSE)</f>
        <v>H</v>
      </c>
      <c r="H172" s="17">
        <v>0.2</v>
      </c>
      <c r="I172" s="17">
        <f>IF(A172="COMPOSICAO",VLOOKUP("TOTAL - "&amp;B172,COMPOSICAO_AUX_2!$A:$J,10,FALSE),VLOOKUP(B172,I!$A:$D,4,FALSE))</f>
        <v>14.93</v>
      </c>
      <c r="J172" s="80">
        <f>TRUNC(H172*I172,2)</f>
        <v>2.98</v>
      </c>
      <c r="K172" s="81"/>
    </row>
    <row r="173" spans="1:13" ht="30" customHeight="1" x14ac:dyDescent="0.25">
      <c r="A173" s="16" t="s">
        <v>306</v>
      </c>
      <c r="B173" s="20">
        <v>2674</v>
      </c>
      <c r="C173" s="77" t="str">
        <f>VLOOKUP(B173,IF(A173="COMPOSICAO",S!$A:$D,I!$A:$D),2,FALSE)</f>
        <v>ELETRODUTO DE PVC RIGIDO ROSCAVEL DE 3/4 ", SEM LUVA</v>
      </c>
      <c r="D173" s="77"/>
      <c r="E173" s="77"/>
      <c r="F173" s="77"/>
      <c r="G173" s="16" t="str">
        <f>VLOOKUP(B173,IF(A173="COMPOSICAO",S!$A:$D,I!$A:$D),3,FALSE)</f>
        <v>M</v>
      </c>
      <c r="H173" s="17">
        <v>1.05</v>
      </c>
      <c r="I173" s="17">
        <f>IF(A173="COMPOSICAO",VLOOKUP("TOTAL - "&amp;B173,COMPOSICAO_AUX_2!$A:$J,10,FALSE),VLOOKUP(B173,I!$A:$D,4,FALSE))</f>
        <v>3.42</v>
      </c>
      <c r="J173" s="80">
        <f>TRUNC(H173*I173,2)</f>
        <v>3.59</v>
      </c>
      <c r="K173" s="81"/>
    </row>
    <row r="174" spans="1:13" ht="15" customHeight="1" x14ac:dyDescent="0.25">
      <c r="A174" s="16" t="s">
        <v>306</v>
      </c>
      <c r="B174" s="20">
        <v>6111</v>
      </c>
      <c r="C174" s="77" t="str">
        <f>VLOOKUP(B174,IF(A174="COMPOSICAO",S!$A:$D,I!$A:$D),2,FALSE)</f>
        <v>SERVENTE DE OBRAS</v>
      </c>
      <c r="D174" s="77"/>
      <c r="E174" s="77"/>
      <c r="F174" s="77"/>
      <c r="G174" s="16" t="str">
        <f>VLOOKUP(B174,IF(A174="COMPOSICAO",S!$A:$D,I!$A:$D),3,FALSE)</f>
        <v>H</v>
      </c>
      <c r="H174" s="17">
        <v>0.2</v>
      </c>
      <c r="I174" s="17">
        <f>IF(A174="COMPOSICAO",VLOOKUP("TOTAL - "&amp;B174,COMPOSICAO_AUX_2!$A:$J,10,FALSE),VLOOKUP(B174,I!$A:$D,4,FALSE))</f>
        <v>10.6</v>
      </c>
      <c r="J174" s="80">
        <f>TRUNC(H174*I174,2)</f>
        <v>2.12</v>
      </c>
      <c r="K174" s="81"/>
    </row>
    <row r="175" spans="1:13" ht="15" customHeight="1" x14ac:dyDescent="0.25">
      <c r="A175" s="16" t="s">
        <v>302</v>
      </c>
      <c r="B175" s="16" t="s">
        <v>319</v>
      </c>
      <c r="C175" s="77" t="str">
        <f>VLOOKUP(B175,IF(A175="COMPOSICAO",S!$A:$D,I!$A:$D),2,FALSE)</f>
        <v>ENCARGOS COMPLEMENTARES - SERVENTE</v>
      </c>
      <c r="D175" s="77"/>
      <c r="E175" s="77"/>
      <c r="F175" s="77"/>
      <c r="G175" s="16" t="str">
        <f>VLOOKUP(B175,IF(A175="COMPOSICAO",S!$A:$D,I!$A:$D),3,FALSE)</f>
        <v>H</v>
      </c>
      <c r="H175" s="17">
        <v>0.2</v>
      </c>
      <c r="I175" s="17">
        <f>IF(A175="COMPOSICAO",VLOOKUP("TOTAL - "&amp;B175,COMPOSICAO_AUX_2!$A:$J,10,FALSE),VLOOKUP(B175,I!$A:$D,4,FALSE))</f>
        <v>2.9100000000000006</v>
      </c>
      <c r="J175" s="80">
        <f>TRUNC(H175*I175,2)</f>
        <v>0.57999999999999996</v>
      </c>
      <c r="K175" s="81"/>
    </row>
    <row r="176" spans="1:13" ht="15" customHeight="1" x14ac:dyDescent="0.25">
      <c r="A176" s="16" t="s">
        <v>302</v>
      </c>
      <c r="B176" s="16" t="s">
        <v>467</v>
      </c>
      <c r="C176" s="77" t="str">
        <f>VLOOKUP(B176,IF(A176="COMPOSICAO",S!$A:$D,I!$A:$D),2,FALSE)</f>
        <v>ENCARGOS COMPLEMENTARES - ELETRICISTA</v>
      </c>
      <c r="D176" s="77"/>
      <c r="E176" s="77"/>
      <c r="F176" s="77"/>
      <c r="G176" s="16" t="str">
        <f>VLOOKUP(B176,IF(A176="COMPOSICAO",S!$A:$D,I!$A:$D),3,FALSE)</f>
        <v>H</v>
      </c>
      <c r="H176" s="17">
        <v>0.2</v>
      </c>
      <c r="I176" s="17">
        <f>IF(A176="COMPOSICAO",VLOOKUP("TOTAL - "&amp;B176,COMPOSICAO_AUX_2!$A:$J,10,FALSE),VLOOKUP(B176,I!$A:$D,4,FALSE))</f>
        <v>2.7900000000000005</v>
      </c>
      <c r="J176" s="80">
        <f>TRUNC(H176*I176,2)</f>
        <v>0.55000000000000004</v>
      </c>
      <c r="K176" s="81"/>
    </row>
    <row r="177" spans="1:13" ht="15" customHeight="1" x14ac:dyDescent="0.25">
      <c r="A177" s="23" t="s">
        <v>548</v>
      </c>
      <c r="B177" s="24"/>
      <c r="C177" s="24"/>
      <c r="D177" s="24"/>
      <c r="E177" s="24"/>
      <c r="F177" s="24"/>
      <c r="G177" s="25"/>
      <c r="H177" s="26"/>
      <c r="I177" s="27"/>
      <c r="J177" s="80">
        <f>SUM(J171:K176)</f>
        <v>9.8200000000000021</v>
      </c>
      <c r="K177" s="81"/>
    </row>
    <row r="178" spans="1:13" ht="15" customHeight="1" x14ac:dyDescent="0.25">
      <c r="A178" s="3"/>
      <c r="B178" s="3"/>
      <c r="C178" s="3"/>
      <c r="D178" s="3"/>
      <c r="E178" s="3"/>
      <c r="F178" s="3"/>
      <c r="G178" s="3"/>
      <c r="H178" s="3"/>
      <c r="I178" s="3"/>
      <c r="J178" s="3"/>
      <c r="K178" s="3"/>
    </row>
    <row r="179" spans="1:13" ht="15" customHeight="1" x14ac:dyDescent="0.25">
      <c r="A179" s="10" t="s">
        <v>295</v>
      </c>
      <c r="B179" s="10" t="s">
        <v>31</v>
      </c>
      <c r="C179" s="82" t="s">
        <v>7</v>
      </c>
      <c r="D179" s="83"/>
      <c r="E179" s="83"/>
      <c r="F179" s="83"/>
      <c r="G179" s="6" t="s">
        <v>32</v>
      </c>
      <c r="H179" s="6" t="s">
        <v>296</v>
      </c>
      <c r="I179" s="6" t="s">
        <v>297</v>
      </c>
      <c r="J179" s="57" t="s">
        <v>9</v>
      </c>
      <c r="K179" s="58"/>
    </row>
    <row r="180" spans="1:13" ht="30" customHeight="1" x14ac:dyDescent="0.25">
      <c r="A180" s="6" t="s">
        <v>11</v>
      </c>
      <c r="B180" s="6" t="s">
        <v>325</v>
      </c>
      <c r="C180" s="91" t="str">
        <f>VLOOKUP(B180,S!$A:$D,2,FALSE)</f>
        <v>CURVA PARA ELETRODUTO DE PVC RÍGIDO ROSCÁVEL, DIÂM = 25MM (3/4")</v>
      </c>
      <c r="D180" s="91"/>
      <c r="E180" s="91"/>
      <c r="F180" s="92"/>
      <c r="G180" s="6" t="str">
        <f>VLOOKUP(B180,S!$A:$D,3,FALSE)</f>
        <v>UN</v>
      </c>
      <c r="H180" s="21"/>
      <c r="I180" s="21">
        <f>J186</f>
        <v>5.67</v>
      </c>
      <c r="J180" s="76"/>
      <c r="K180" s="72"/>
      <c r="L180" s="21">
        <f>VLOOKUP(B180,S!$A:$D,4,FALSE)</f>
        <v>5.14</v>
      </c>
      <c r="M180" s="6" t="str">
        <f>IF(ROUND((L180-I180),2)=0,"OK, confere com a tabela.",IF(ROUND((L180-I180),2)&lt;0,"ACIMA ("&amp;TEXT(ROUND(I180*100/L180,4),"0,0000")&amp;" %) da tabela.","ABAIXO ("&amp;TEXT(ROUND(I180*100/L180,4),"0,0000")&amp;" %) da tabela."))</f>
        <v>ACIMA (110,3113 %) da tabela.</v>
      </c>
    </row>
    <row r="181" spans="1:13" ht="30" customHeight="1" x14ac:dyDescent="0.25">
      <c r="A181" s="16" t="s">
        <v>306</v>
      </c>
      <c r="B181" s="20">
        <v>1879</v>
      </c>
      <c r="C181" s="77" t="str">
        <f>VLOOKUP(B181,IF(A181="COMPOSICAO",S!$A:$D,I!$A:$D),2,FALSE)</f>
        <v>CURVA 90 GRAUS, LONGA, DE PVC RIGIDO ROSCAVEL, DE 3/4", PARA ELETRODUTO</v>
      </c>
      <c r="D181" s="77"/>
      <c r="E181" s="77"/>
      <c r="F181" s="77"/>
      <c r="G181" s="16" t="str">
        <f>VLOOKUP(B181,IF(A181="COMPOSICAO",S!$A:$D,I!$A:$D),3,FALSE)</f>
        <v>UN</v>
      </c>
      <c r="H181" s="17">
        <v>1</v>
      </c>
      <c r="I181" s="17">
        <f>IF(A181="COMPOSICAO",VLOOKUP("TOTAL - "&amp;B181,COMPOSICAO_AUX_2!$A:$J,10,FALSE),VLOOKUP(B181,I!$A:$D,4,FALSE))</f>
        <v>2.56</v>
      </c>
      <c r="J181" s="80">
        <f>TRUNC(H181*I181,2)</f>
        <v>2.56</v>
      </c>
      <c r="K181" s="81"/>
    </row>
    <row r="182" spans="1:13" ht="15" customHeight="1" x14ac:dyDescent="0.25">
      <c r="A182" s="16" t="s">
        <v>306</v>
      </c>
      <c r="B182" s="20">
        <v>2436</v>
      </c>
      <c r="C182" s="77" t="str">
        <f>VLOOKUP(B182,IF(A182="COMPOSICAO",S!$A:$D,I!$A:$D),2,FALSE)</f>
        <v>ELETRICISTA</v>
      </c>
      <c r="D182" s="77"/>
      <c r="E182" s="77"/>
      <c r="F182" s="77"/>
      <c r="G182" s="16" t="str">
        <f>VLOOKUP(B182,IF(A182="COMPOSICAO",S!$A:$D,I!$A:$D),3,FALSE)</f>
        <v>H</v>
      </c>
      <c r="H182" s="17">
        <v>0.1</v>
      </c>
      <c r="I182" s="17">
        <f>IF(A182="COMPOSICAO",VLOOKUP("TOTAL - "&amp;B182,COMPOSICAO_AUX_2!$A:$J,10,FALSE),VLOOKUP(B182,I!$A:$D,4,FALSE))</f>
        <v>14.93</v>
      </c>
      <c r="J182" s="80">
        <f>TRUNC(H182*I182,2)</f>
        <v>1.49</v>
      </c>
      <c r="K182" s="81"/>
    </row>
    <row r="183" spans="1:13" ht="15" customHeight="1" x14ac:dyDescent="0.25">
      <c r="A183" s="16" t="s">
        <v>306</v>
      </c>
      <c r="B183" s="20">
        <v>6111</v>
      </c>
      <c r="C183" s="77" t="str">
        <f>VLOOKUP(B183,IF(A183="COMPOSICAO",S!$A:$D,I!$A:$D),2,FALSE)</f>
        <v>SERVENTE DE OBRAS</v>
      </c>
      <c r="D183" s="77"/>
      <c r="E183" s="77"/>
      <c r="F183" s="77"/>
      <c r="G183" s="16" t="str">
        <f>VLOOKUP(B183,IF(A183="COMPOSICAO",S!$A:$D,I!$A:$D),3,FALSE)</f>
        <v>H</v>
      </c>
      <c r="H183" s="17">
        <v>0.1</v>
      </c>
      <c r="I183" s="17">
        <f>IF(A183="COMPOSICAO",VLOOKUP("TOTAL - "&amp;B183,COMPOSICAO_AUX_2!$A:$J,10,FALSE),VLOOKUP(B183,I!$A:$D,4,FALSE))</f>
        <v>10.6</v>
      </c>
      <c r="J183" s="80">
        <f>TRUNC(H183*I183,2)</f>
        <v>1.06</v>
      </c>
      <c r="K183" s="81"/>
    </row>
    <row r="184" spans="1:13" ht="15" customHeight="1" x14ac:dyDescent="0.25">
      <c r="A184" s="16" t="s">
        <v>302</v>
      </c>
      <c r="B184" s="16" t="s">
        <v>319</v>
      </c>
      <c r="C184" s="77" t="str">
        <f>VLOOKUP(B184,IF(A184="COMPOSICAO",S!$A:$D,I!$A:$D),2,FALSE)</f>
        <v>ENCARGOS COMPLEMENTARES - SERVENTE</v>
      </c>
      <c r="D184" s="77"/>
      <c r="E184" s="77"/>
      <c r="F184" s="77"/>
      <c r="G184" s="16" t="str">
        <f>VLOOKUP(B184,IF(A184="COMPOSICAO",S!$A:$D,I!$A:$D),3,FALSE)</f>
        <v>H</v>
      </c>
      <c r="H184" s="17">
        <v>0.1</v>
      </c>
      <c r="I184" s="17">
        <f>IF(A184="COMPOSICAO",VLOOKUP("TOTAL - "&amp;B184,COMPOSICAO_AUX_2!$A:$J,10,FALSE),VLOOKUP(B184,I!$A:$D,4,FALSE))</f>
        <v>2.9100000000000006</v>
      </c>
      <c r="J184" s="80">
        <f>TRUNC(H184*I184,2)</f>
        <v>0.28999999999999998</v>
      </c>
      <c r="K184" s="81"/>
    </row>
    <row r="185" spans="1:13" ht="15" customHeight="1" x14ac:dyDescent="0.25">
      <c r="A185" s="16" t="s">
        <v>302</v>
      </c>
      <c r="B185" s="16" t="s">
        <v>467</v>
      </c>
      <c r="C185" s="77" t="str">
        <f>VLOOKUP(B185,IF(A185="COMPOSICAO",S!$A:$D,I!$A:$D),2,FALSE)</f>
        <v>ENCARGOS COMPLEMENTARES - ELETRICISTA</v>
      </c>
      <c r="D185" s="77"/>
      <c r="E185" s="77"/>
      <c r="F185" s="77"/>
      <c r="G185" s="16" t="str">
        <f>VLOOKUP(B185,IF(A185="COMPOSICAO",S!$A:$D,I!$A:$D),3,FALSE)</f>
        <v>H</v>
      </c>
      <c r="H185" s="17">
        <v>0.1</v>
      </c>
      <c r="I185" s="17">
        <f>IF(A185="COMPOSICAO",VLOOKUP("TOTAL - "&amp;B185,COMPOSICAO_AUX_2!$A:$J,10,FALSE),VLOOKUP(B185,I!$A:$D,4,FALSE))</f>
        <v>2.7900000000000005</v>
      </c>
      <c r="J185" s="80">
        <f>TRUNC(H185*I185,2)</f>
        <v>0.27</v>
      </c>
      <c r="K185" s="81"/>
    </row>
    <row r="186" spans="1:13" ht="15" customHeight="1" x14ac:dyDescent="0.25">
      <c r="A186" s="23" t="s">
        <v>549</v>
      </c>
      <c r="B186" s="24"/>
      <c r="C186" s="24"/>
      <c r="D186" s="24"/>
      <c r="E186" s="24"/>
      <c r="F186" s="24"/>
      <c r="G186" s="25"/>
      <c r="H186" s="26"/>
      <c r="I186" s="27"/>
      <c r="J186" s="80">
        <f>SUM(J180:K185)</f>
        <v>5.67</v>
      </c>
      <c r="K186" s="81"/>
    </row>
    <row r="187" spans="1:13" ht="15" customHeight="1" x14ac:dyDescent="0.25">
      <c r="A187" s="3"/>
      <c r="B187" s="3"/>
      <c r="C187" s="3"/>
      <c r="D187" s="3"/>
      <c r="E187" s="3"/>
      <c r="F187" s="3"/>
      <c r="G187" s="3"/>
      <c r="H187" s="3"/>
      <c r="I187" s="3"/>
      <c r="J187" s="3"/>
      <c r="K187" s="3"/>
    </row>
    <row r="188" spans="1:13" ht="15" customHeight="1" x14ac:dyDescent="0.25">
      <c r="A188" s="10" t="s">
        <v>295</v>
      </c>
      <c r="B188" s="10" t="s">
        <v>31</v>
      </c>
      <c r="C188" s="82" t="s">
        <v>7</v>
      </c>
      <c r="D188" s="83"/>
      <c r="E188" s="83"/>
      <c r="F188" s="83"/>
      <c r="G188" s="6" t="s">
        <v>32</v>
      </c>
      <c r="H188" s="6" t="s">
        <v>296</v>
      </c>
      <c r="I188" s="6" t="s">
        <v>297</v>
      </c>
      <c r="J188" s="57" t="s">
        <v>9</v>
      </c>
      <c r="K188" s="58"/>
    </row>
    <row r="189" spans="1:13" ht="30" customHeight="1" x14ac:dyDescent="0.25">
      <c r="A189" s="6" t="s">
        <v>11</v>
      </c>
      <c r="B189" s="6" t="s">
        <v>326</v>
      </c>
      <c r="C189" s="91" t="str">
        <f>VLOOKUP(B189,S!$A:$D,2,FALSE)</f>
        <v>LUVA PARA ELETRODUTO DE PVC RÍGIDO ROSCÁVEL, DIÂM = 25MM (3/4")</v>
      </c>
      <c r="D189" s="91"/>
      <c r="E189" s="91"/>
      <c r="F189" s="92"/>
      <c r="G189" s="6" t="str">
        <f>VLOOKUP(B189,S!$A:$D,3,FALSE)</f>
        <v>UN</v>
      </c>
      <c r="H189" s="21"/>
      <c r="I189" s="21">
        <f>J195</f>
        <v>2.02</v>
      </c>
      <c r="J189" s="76"/>
      <c r="K189" s="72"/>
      <c r="L189" s="21">
        <f>VLOOKUP(B189,S!$A:$D,4,FALSE)</f>
        <v>1.83</v>
      </c>
      <c r="M189" s="6" t="str">
        <f>IF(ROUND((L189-I189),2)=0,"OK, confere com a tabela.",IF(ROUND((L189-I189),2)&lt;0,"ACIMA ("&amp;TEXT(ROUND(I189*100/L189,4),"0,0000")&amp;" %) da tabela.","ABAIXO ("&amp;TEXT(ROUND(I189*100/L189,4),"0,0000")&amp;" %) da tabela."))</f>
        <v>ACIMA (110,3825 %) da tabela.</v>
      </c>
    </row>
    <row r="190" spans="1:13" ht="30" customHeight="1" x14ac:dyDescent="0.25">
      <c r="A190" s="16" t="s">
        <v>306</v>
      </c>
      <c r="B190" s="20">
        <v>1891</v>
      </c>
      <c r="C190" s="77" t="str">
        <f>VLOOKUP(B190,IF(A190="COMPOSICAO",S!$A:$D,I!$A:$D),2,FALSE)</f>
        <v>LUVA EM PVC RIGIDO ROSCAVEL, DE 3/4", PARA ELETRODUTO</v>
      </c>
      <c r="D190" s="77"/>
      <c r="E190" s="77"/>
      <c r="F190" s="77"/>
      <c r="G190" s="16" t="str">
        <f>VLOOKUP(B190,IF(A190="COMPOSICAO",S!$A:$D,I!$A:$D),3,FALSE)</f>
        <v>UN</v>
      </c>
      <c r="H190" s="17">
        <v>1</v>
      </c>
      <c r="I190" s="17">
        <f>IF(A190="COMPOSICAO",VLOOKUP("TOTAL - "&amp;B190,COMPOSICAO_AUX_2!$A:$J,10,FALSE),VLOOKUP(B190,I!$A:$D,4,FALSE))</f>
        <v>1.1100000000000001</v>
      </c>
      <c r="J190" s="80">
        <f>TRUNC(H190*I190,2)</f>
        <v>1.1100000000000001</v>
      </c>
      <c r="K190" s="81"/>
    </row>
    <row r="191" spans="1:13" ht="15" customHeight="1" x14ac:dyDescent="0.25">
      <c r="A191" s="16" t="s">
        <v>306</v>
      </c>
      <c r="B191" s="20">
        <v>2436</v>
      </c>
      <c r="C191" s="77" t="str">
        <f>VLOOKUP(B191,IF(A191="COMPOSICAO",S!$A:$D,I!$A:$D),2,FALSE)</f>
        <v>ELETRICISTA</v>
      </c>
      <c r="D191" s="77"/>
      <c r="E191" s="77"/>
      <c r="F191" s="77"/>
      <c r="G191" s="16" t="str">
        <f>VLOOKUP(B191,IF(A191="COMPOSICAO",S!$A:$D,I!$A:$D),3,FALSE)</f>
        <v>H</v>
      </c>
      <c r="H191" s="17">
        <v>0.03</v>
      </c>
      <c r="I191" s="17">
        <f>IF(A191="COMPOSICAO",VLOOKUP("TOTAL - "&amp;B191,COMPOSICAO_AUX_2!$A:$J,10,FALSE),VLOOKUP(B191,I!$A:$D,4,FALSE))</f>
        <v>14.93</v>
      </c>
      <c r="J191" s="80">
        <f>TRUNC(H191*I191,2)</f>
        <v>0.44</v>
      </c>
      <c r="K191" s="81"/>
    </row>
    <row r="192" spans="1:13" ht="15" customHeight="1" x14ac:dyDescent="0.25">
      <c r="A192" s="16" t="s">
        <v>306</v>
      </c>
      <c r="B192" s="20">
        <v>6111</v>
      </c>
      <c r="C192" s="77" t="str">
        <f>VLOOKUP(B192,IF(A192="COMPOSICAO",S!$A:$D,I!$A:$D),2,FALSE)</f>
        <v>SERVENTE DE OBRAS</v>
      </c>
      <c r="D192" s="77"/>
      <c r="E192" s="77"/>
      <c r="F192" s="77"/>
      <c r="G192" s="16" t="str">
        <f>VLOOKUP(B192,IF(A192="COMPOSICAO",S!$A:$D,I!$A:$D),3,FALSE)</f>
        <v>H</v>
      </c>
      <c r="H192" s="17">
        <v>0.03</v>
      </c>
      <c r="I192" s="17">
        <f>IF(A192="COMPOSICAO",VLOOKUP("TOTAL - "&amp;B192,COMPOSICAO_AUX_2!$A:$J,10,FALSE),VLOOKUP(B192,I!$A:$D,4,FALSE))</f>
        <v>10.6</v>
      </c>
      <c r="J192" s="80">
        <f>TRUNC(H192*I192,2)</f>
        <v>0.31</v>
      </c>
      <c r="K192" s="81"/>
    </row>
    <row r="193" spans="1:13" ht="15" customHeight="1" x14ac:dyDescent="0.25">
      <c r="A193" s="16" t="s">
        <v>302</v>
      </c>
      <c r="B193" s="16" t="s">
        <v>319</v>
      </c>
      <c r="C193" s="77" t="str">
        <f>VLOOKUP(B193,IF(A193="COMPOSICAO",S!$A:$D,I!$A:$D),2,FALSE)</f>
        <v>ENCARGOS COMPLEMENTARES - SERVENTE</v>
      </c>
      <c r="D193" s="77"/>
      <c r="E193" s="77"/>
      <c r="F193" s="77"/>
      <c r="G193" s="16" t="str">
        <f>VLOOKUP(B193,IF(A193="COMPOSICAO",S!$A:$D,I!$A:$D),3,FALSE)</f>
        <v>H</v>
      </c>
      <c r="H193" s="17">
        <v>0.03</v>
      </c>
      <c r="I193" s="17">
        <f>IF(A193="COMPOSICAO",VLOOKUP("TOTAL - "&amp;B193,COMPOSICAO_AUX_2!$A:$J,10,FALSE),VLOOKUP(B193,I!$A:$D,4,FALSE))</f>
        <v>2.9100000000000006</v>
      </c>
      <c r="J193" s="80">
        <f>TRUNC(H193*I193,2)</f>
        <v>0.08</v>
      </c>
      <c r="K193" s="81"/>
    </row>
    <row r="194" spans="1:13" ht="15" customHeight="1" x14ac:dyDescent="0.25">
      <c r="A194" s="16" t="s">
        <v>302</v>
      </c>
      <c r="B194" s="16" t="s">
        <v>467</v>
      </c>
      <c r="C194" s="77" t="str">
        <f>VLOOKUP(B194,IF(A194="COMPOSICAO",S!$A:$D,I!$A:$D),2,FALSE)</f>
        <v>ENCARGOS COMPLEMENTARES - ELETRICISTA</v>
      </c>
      <c r="D194" s="77"/>
      <c r="E194" s="77"/>
      <c r="F194" s="77"/>
      <c r="G194" s="16" t="str">
        <f>VLOOKUP(B194,IF(A194="COMPOSICAO",S!$A:$D,I!$A:$D),3,FALSE)</f>
        <v>H</v>
      </c>
      <c r="H194" s="17">
        <v>0.03</v>
      </c>
      <c r="I194" s="17">
        <f>IF(A194="COMPOSICAO",VLOOKUP("TOTAL - "&amp;B194,COMPOSICAO_AUX_2!$A:$J,10,FALSE),VLOOKUP(B194,I!$A:$D,4,FALSE))</f>
        <v>2.7900000000000005</v>
      </c>
      <c r="J194" s="80">
        <f>TRUNC(H194*I194,2)</f>
        <v>0.08</v>
      </c>
      <c r="K194" s="81"/>
    </row>
    <row r="195" spans="1:13" ht="15" customHeight="1" x14ac:dyDescent="0.25">
      <c r="A195" s="23" t="s">
        <v>550</v>
      </c>
      <c r="B195" s="24"/>
      <c r="C195" s="24"/>
      <c r="D195" s="24"/>
      <c r="E195" s="24"/>
      <c r="F195" s="24"/>
      <c r="G195" s="25"/>
      <c r="H195" s="26"/>
      <c r="I195" s="27"/>
      <c r="J195" s="80">
        <f>SUM(J189:K194)</f>
        <v>2.02</v>
      </c>
      <c r="K195" s="81"/>
    </row>
    <row r="196" spans="1:13" ht="15" customHeight="1" x14ac:dyDescent="0.25">
      <c r="A196" s="3"/>
      <c r="B196" s="3"/>
      <c r="C196" s="3"/>
      <c r="D196" s="3"/>
      <c r="E196" s="3"/>
      <c r="F196" s="3"/>
      <c r="G196" s="3"/>
      <c r="H196" s="3"/>
      <c r="I196" s="3"/>
      <c r="J196" s="3"/>
      <c r="K196" s="3"/>
    </row>
    <row r="197" spans="1:13" ht="15" customHeight="1" x14ac:dyDescent="0.25">
      <c r="A197" s="10" t="s">
        <v>295</v>
      </c>
      <c r="B197" s="10" t="s">
        <v>31</v>
      </c>
      <c r="C197" s="82" t="s">
        <v>7</v>
      </c>
      <c r="D197" s="83"/>
      <c r="E197" s="83"/>
      <c r="F197" s="83"/>
      <c r="G197" s="6" t="s">
        <v>32</v>
      </c>
      <c r="H197" s="6" t="s">
        <v>296</v>
      </c>
      <c r="I197" s="6" t="s">
        <v>297</v>
      </c>
      <c r="J197" s="57" t="s">
        <v>9</v>
      </c>
      <c r="K197" s="58"/>
    </row>
    <row r="198" spans="1:13" ht="30" customHeight="1" x14ac:dyDescent="0.25">
      <c r="A198" s="6" t="s">
        <v>11</v>
      </c>
      <c r="B198" s="6" t="s">
        <v>327</v>
      </c>
      <c r="C198" s="91" t="str">
        <f>VLOOKUP(B198,S!$A:$D,2,FALSE)</f>
        <v>CONECTOR PARA HASTE DE ATERRAMENTO 5/8" - FORNECIMENTO</v>
      </c>
      <c r="D198" s="91"/>
      <c r="E198" s="91"/>
      <c r="F198" s="92"/>
      <c r="G198" s="6" t="str">
        <f>VLOOKUP(B198,S!$A:$D,3,FALSE)</f>
        <v>UN</v>
      </c>
      <c r="H198" s="21"/>
      <c r="I198" s="21">
        <f>J200</f>
        <v>3.7</v>
      </c>
      <c r="J198" s="76"/>
      <c r="K198" s="72"/>
      <c r="L198" s="21">
        <f>VLOOKUP(B198,S!$A:$D,4,FALSE)</f>
        <v>3.7</v>
      </c>
      <c r="M198" s="6" t="str">
        <f>IF(ROUND((L198-I198),2)=0,"OK, confere com a tabela.",IF(ROUND((L198-I198),2)&lt;0,"ACIMA ("&amp;TEXT(ROUND(I198*100/L198,4),"0,0000")&amp;" %) da tabela.","ABAIXO ("&amp;TEXT(ROUND(I198*100/L198,4),"0,0000")&amp;" %) da tabela."))</f>
        <v>OK, confere com a tabela.</v>
      </c>
    </row>
    <row r="199" spans="1:13" ht="15" customHeight="1" x14ac:dyDescent="0.25">
      <c r="A199" s="16" t="s">
        <v>306</v>
      </c>
      <c r="B199" s="16" t="s">
        <v>551</v>
      </c>
      <c r="C199" s="77" t="str">
        <f>VLOOKUP(B199,IF(A199="COMPOSICAO",S!$A:$D,I!$A:$D),2,FALSE)</f>
        <v>CONECTOR P/ HASTE DE ATERRAMENTO 5/8"</v>
      </c>
      <c r="D199" s="77"/>
      <c r="E199" s="77"/>
      <c r="F199" s="77"/>
      <c r="G199" s="16" t="str">
        <f>VLOOKUP(B199,IF(A199="COMPOSICAO",S!$A:$D,I!$A:$D),3,FALSE)</f>
        <v>UN</v>
      </c>
      <c r="H199" s="17">
        <v>1</v>
      </c>
      <c r="I199" s="17">
        <f>IF(A199="COMPOSICAO",VLOOKUP("TOTAL - "&amp;B199,COMPOSICAO_AUX_2!$A:$J,10,FALSE),VLOOKUP(B199,I!$A:$D,4,FALSE))</f>
        <v>3.7</v>
      </c>
      <c r="J199" s="80">
        <f>TRUNC(H199*I199,2)</f>
        <v>3.7</v>
      </c>
      <c r="K199" s="81"/>
    </row>
    <row r="200" spans="1:13" ht="15" customHeight="1" x14ac:dyDescent="0.25">
      <c r="A200" s="23" t="s">
        <v>552</v>
      </c>
      <c r="B200" s="24"/>
      <c r="C200" s="24"/>
      <c r="D200" s="24"/>
      <c r="E200" s="24"/>
      <c r="F200" s="24"/>
      <c r="G200" s="25"/>
      <c r="H200" s="26"/>
      <c r="I200" s="27"/>
      <c r="J200" s="80">
        <f>SUM(J198:K199)</f>
        <v>3.7</v>
      </c>
      <c r="K200" s="81"/>
    </row>
    <row r="201" spans="1:13" ht="15" customHeight="1" x14ac:dyDescent="0.25">
      <c r="A201" s="3"/>
      <c r="B201" s="3"/>
      <c r="C201" s="3"/>
      <c r="D201" s="3"/>
      <c r="E201" s="3"/>
      <c r="F201" s="3"/>
      <c r="G201" s="3"/>
      <c r="H201" s="3"/>
      <c r="I201" s="3"/>
      <c r="J201" s="3"/>
      <c r="K201" s="3"/>
    </row>
    <row r="202" spans="1:13" ht="15" customHeight="1" x14ac:dyDescent="0.25">
      <c r="A202" s="10" t="s">
        <v>295</v>
      </c>
      <c r="B202" s="10" t="s">
        <v>31</v>
      </c>
      <c r="C202" s="82" t="s">
        <v>7</v>
      </c>
      <c r="D202" s="83"/>
      <c r="E202" s="83"/>
      <c r="F202" s="83"/>
      <c r="G202" s="6" t="s">
        <v>32</v>
      </c>
      <c r="H202" s="6" t="s">
        <v>296</v>
      </c>
      <c r="I202" s="6" t="s">
        <v>297</v>
      </c>
      <c r="J202" s="57" t="s">
        <v>9</v>
      </c>
      <c r="K202" s="58"/>
    </row>
    <row r="203" spans="1:13" ht="15" customHeight="1" x14ac:dyDescent="0.25">
      <c r="A203" s="6" t="s">
        <v>11</v>
      </c>
      <c r="B203" s="6" t="s">
        <v>328</v>
      </c>
      <c r="C203" s="91" t="str">
        <f>VLOOKUP(B203,S!$A:$D,2,FALSE)</f>
        <v>FORNECIMENTO DE ISOLADOR ROLDANA DE PORCELANA</v>
      </c>
      <c r="D203" s="91"/>
      <c r="E203" s="91"/>
      <c r="F203" s="92"/>
      <c r="G203" s="6" t="str">
        <f>VLOOKUP(B203,S!$A:$D,3,FALSE)</f>
        <v>UN</v>
      </c>
      <c r="H203" s="21"/>
      <c r="I203" s="21">
        <f>J205</f>
        <v>3.81</v>
      </c>
      <c r="J203" s="76"/>
      <c r="K203" s="72"/>
      <c r="L203" s="21">
        <f>VLOOKUP(B203,S!$A:$D,4,FALSE)</f>
        <v>4.41</v>
      </c>
      <c r="M203" s="6" t="str">
        <f>IF(ROUND((L203-I203),2)=0,"OK, confere com a tabela.",IF(ROUND((L203-I203),2)&lt;0,"ACIMA ("&amp;TEXT(ROUND(I203*100/L203,4),"0,0000")&amp;" %) da tabela.","ABAIXO ("&amp;TEXT(ROUND(I203*100/L203,4),"0,0000")&amp;" %) da tabela."))</f>
        <v>ABAIXO (86,3946 %) da tabela.</v>
      </c>
    </row>
    <row r="204" spans="1:13" ht="30" customHeight="1" x14ac:dyDescent="0.25">
      <c r="A204" s="16" t="s">
        <v>306</v>
      </c>
      <c r="B204" s="20">
        <v>3398</v>
      </c>
      <c r="C204" s="77" t="str">
        <f>VLOOKUP(B204,IF(A204="COMPOSICAO",S!$A:$D,I!$A:$D),2,FALSE)</f>
        <v>ISOLADOR DE PORCELANA, TIPO ROLDANA, DIMENSOES DE *72* X *72* MM, PARA USO EM BAIXA TENSAO</v>
      </c>
      <c r="D204" s="77"/>
      <c r="E204" s="77"/>
      <c r="F204" s="77"/>
      <c r="G204" s="16" t="str">
        <f>VLOOKUP(B204,IF(A204="COMPOSICAO",S!$A:$D,I!$A:$D),3,FALSE)</f>
        <v>UN</v>
      </c>
      <c r="H204" s="17">
        <v>1</v>
      </c>
      <c r="I204" s="17">
        <f>IF(A204="COMPOSICAO",VLOOKUP("TOTAL - "&amp;B204,COMPOSICAO_AUX_2!$A:$J,10,FALSE),VLOOKUP(B204,I!$A:$D,4,FALSE))</f>
        <v>3.81</v>
      </c>
      <c r="J204" s="80">
        <f>TRUNC(H204*I204,2)</f>
        <v>3.81</v>
      </c>
      <c r="K204" s="81"/>
    </row>
    <row r="205" spans="1:13" ht="15" customHeight="1" x14ac:dyDescent="0.25">
      <c r="A205" s="23" t="s">
        <v>553</v>
      </c>
      <c r="B205" s="24"/>
      <c r="C205" s="24"/>
      <c r="D205" s="24"/>
      <c r="E205" s="24"/>
      <c r="F205" s="24"/>
      <c r="G205" s="25"/>
      <c r="H205" s="26"/>
      <c r="I205" s="27"/>
      <c r="J205" s="80">
        <f>SUM(J203:K204)</f>
        <v>3.81</v>
      </c>
      <c r="K205" s="81"/>
    </row>
    <row r="206" spans="1:13" ht="15" customHeight="1" x14ac:dyDescent="0.25">
      <c r="A206" s="3"/>
      <c r="B206" s="3"/>
      <c r="C206" s="3"/>
      <c r="D206" s="3"/>
      <c r="E206" s="3"/>
      <c r="F206" s="3"/>
      <c r="G206" s="3"/>
      <c r="H206" s="3"/>
      <c r="I206" s="3"/>
      <c r="J206" s="3"/>
      <c r="K206" s="3"/>
    </row>
    <row r="207" spans="1:13" ht="15" customHeight="1" x14ac:dyDescent="0.25">
      <c r="A207" s="10" t="s">
        <v>295</v>
      </c>
      <c r="B207" s="10" t="s">
        <v>31</v>
      </c>
      <c r="C207" s="82" t="s">
        <v>7</v>
      </c>
      <c r="D207" s="83"/>
      <c r="E207" s="83"/>
      <c r="F207" s="83"/>
      <c r="G207" s="6" t="s">
        <v>32</v>
      </c>
      <c r="H207" s="6" t="s">
        <v>296</v>
      </c>
      <c r="I207" s="6" t="s">
        <v>297</v>
      </c>
      <c r="J207" s="57" t="s">
        <v>9</v>
      </c>
      <c r="K207" s="58"/>
    </row>
    <row r="208" spans="1:13" ht="30" customHeight="1" x14ac:dyDescent="0.25">
      <c r="A208" s="6" t="s">
        <v>11</v>
      </c>
      <c r="B208" s="6" t="s">
        <v>329</v>
      </c>
      <c r="C208" s="91" t="str">
        <f>VLOOKUP(B208,S!$A:$D,2,FALSE)</f>
        <v>CABO DE COBRE ISOLADO EPR OU XLPE 6,0MM²,  0,6/1KV / 90º C</v>
      </c>
      <c r="D208" s="91"/>
      <c r="E208" s="91"/>
      <c r="F208" s="92"/>
      <c r="G208" s="6" t="str">
        <f>VLOOKUP(B208,S!$A:$D,3,FALSE)</f>
        <v>M</v>
      </c>
      <c r="H208" s="21"/>
      <c r="I208" s="21">
        <f>J214</f>
        <v>10.87</v>
      </c>
      <c r="J208" s="76"/>
      <c r="K208" s="72"/>
      <c r="L208" s="21">
        <f>VLOOKUP(B208,S!$A:$D,4,FALSE)</f>
        <v>10.76</v>
      </c>
      <c r="M208" s="6" t="str">
        <f>IF(ROUND((L208-I208),2)=0,"OK, confere com a tabela.",IF(ROUND((L208-I208),2)&lt;0,"ACIMA ("&amp;TEXT(ROUND(I208*100/L208,4),"0,0000")&amp;" %) da tabela.","ABAIXO ("&amp;TEXT(ROUND(I208*100/L208,4),"0,0000")&amp;" %) da tabela."))</f>
        <v>ACIMA (101,0223 %) da tabela.</v>
      </c>
    </row>
    <row r="209" spans="1:13" ht="30" customHeight="1" x14ac:dyDescent="0.25">
      <c r="A209" s="16" t="s">
        <v>306</v>
      </c>
      <c r="B209" s="16" t="s">
        <v>554</v>
      </c>
      <c r="C209" s="77" t="str">
        <f>VLOOKUP(B209,IF(A209="COMPOSICAO",S!$A:$D,I!$A:$D),2,FALSE)</f>
        <v>CABO DE COBRE ISOLADO EPR  OU XLPE),   6,0MM²,  0,6/1KV / 90º C</v>
      </c>
      <c r="D209" s="77"/>
      <c r="E209" s="77"/>
      <c r="F209" s="77"/>
      <c r="G209" s="16" t="str">
        <f>VLOOKUP(B209,IF(A209="COMPOSICAO",S!$A:$D,I!$A:$D),3,FALSE)</f>
        <v>M</v>
      </c>
      <c r="H209" s="17">
        <v>1.02</v>
      </c>
      <c r="I209" s="17">
        <f>IF(A209="COMPOSICAO",VLOOKUP("TOTAL - "&amp;B209,COMPOSICAO_AUX_2!$A:$J,10,FALSE),VLOOKUP(B209,I!$A:$D,4,FALSE))</f>
        <v>6.7</v>
      </c>
      <c r="J209" s="80">
        <f>TRUNC(H209*I209,2)</f>
        <v>6.83</v>
      </c>
      <c r="K209" s="81"/>
    </row>
    <row r="210" spans="1:13" ht="15" customHeight="1" x14ac:dyDescent="0.25">
      <c r="A210" s="16" t="s">
        <v>306</v>
      </c>
      <c r="B210" s="20">
        <v>2436</v>
      </c>
      <c r="C210" s="77" t="str">
        <f>VLOOKUP(B210,IF(A210="COMPOSICAO",S!$A:$D,I!$A:$D),2,FALSE)</f>
        <v>ELETRICISTA</v>
      </c>
      <c r="D210" s="77"/>
      <c r="E210" s="77"/>
      <c r="F210" s="77"/>
      <c r="G210" s="16" t="str">
        <f>VLOOKUP(B210,IF(A210="COMPOSICAO",S!$A:$D,I!$A:$D),3,FALSE)</f>
        <v>H</v>
      </c>
      <c r="H210" s="17">
        <v>0.13</v>
      </c>
      <c r="I210" s="17">
        <f>IF(A210="COMPOSICAO",VLOOKUP("TOTAL - "&amp;B210,COMPOSICAO_AUX_2!$A:$J,10,FALSE),VLOOKUP(B210,I!$A:$D,4,FALSE))</f>
        <v>14.93</v>
      </c>
      <c r="J210" s="80">
        <f>TRUNC(H210*I210,2)</f>
        <v>1.94</v>
      </c>
      <c r="K210" s="81"/>
    </row>
    <row r="211" spans="1:13" ht="15" customHeight="1" x14ac:dyDescent="0.25">
      <c r="A211" s="16" t="s">
        <v>306</v>
      </c>
      <c r="B211" s="20">
        <v>6111</v>
      </c>
      <c r="C211" s="77" t="str">
        <f>VLOOKUP(B211,IF(A211="COMPOSICAO",S!$A:$D,I!$A:$D),2,FALSE)</f>
        <v>SERVENTE DE OBRAS</v>
      </c>
      <c r="D211" s="77"/>
      <c r="E211" s="77"/>
      <c r="F211" s="77"/>
      <c r="G211" s="16" t="str">
        <f>VLOOKUP(B211,IF(A211="COMPOSICAO",S!$A:$D,I!$A:$D),3,FALSE)</f>
        <v>H</v>
      </c>
      <c r="H211" s="17">
        <v>0.13</v>
      </c>
      <c r="I211" s="17">
        <f>IF(A211="COMPOSICAO",VLOOKUP("TOTAL - "&amp;B211,COMPOSICAO_AUX_2!$A:$J,10,FALSE),VLOOKUP(B211,I!$A:$D,4,FALSE))</f>
        <v>10.6</v>
      </c>
      <c r="J211" s="80">
        <f>TRUNC(H211*I211,2)</f>
        <v>1.37</v>
      </c>
      <c r="K211" s="81"/>
    </row>
    <row r="212" spans="1:13" ht="15" customHeight="1" x14ac:dyDescent="0.25">
      <c r="A212" s="16" t="s">
        <v>302</v>
      </c>
      <c r="B212" s="16" t="s">
        <v>319</v>
      </c>
      <c r="C212" s="77" t="str">
        <f>VLOOKUP(B212,IF(A212="COMPOSICAO",S!$A:$D,I!$A:$D),2,FALSE)</f>
        <v>ENCARGOS COMPLEMENTARES - SERVENTE</v>
      </c>
      <c r="D212" s="77"/>
      <c r="E212" s="77"/>
      <c r="F212" s="77"/>
      <c r="G212" s="16" t="str">
        <f>VLOOKUP(B212,IF(A212="COMPOSICAO",S!$A:$D,I!$A:$D),3,FALSE)</f>
        <v>H</v>
      </c>
      <c r="H212" s="17">
        <v>0.13</v>
      </c>
      <c r="I212" s="17">
        <f>IF(A212="COMPOSICAO",VLOOKUP("TOTAL - "&amp;B212,COMPOSICAO_AUX_2!$A:$J,10,FALSE),VLOOKUP(B212,I!$A:$D,4,FALSE))</f>
        <v>2.9100000000000006</v>
      </c>
      <c r="J212" s="80">
        <f>TRUNC(H212*I212,2)</f>
        <v>0.37</v>
      </c>
      <c r="K212" s="81"/>
    </row>
    <row r="213" spans="1:13" ht="15" customHeight="1" x14ac:dyDescent="0.25">
      <c r="A213" s="16" t="s">
        <v>302</v>
      </c>
      <c r="B213" s="16" t="s">
        <v>467</v>
      </c>
      <c r="C213" s="77" t="str">
        <f>VLOOKUP(B213,IF(A213="COMPOSICAO",S!$A:$D,I!$A:$D),2,FALSE)</f>
        <v>ENCARGOS COMPLEMENTARES - ELETRICISTA</v>
      </c>
      <c r="D213" s="77"/>
      <c r="E213" s="77"/>
      <c r="F213" s="77"/>
      <c r="G213" s="16" t="str">
        <f>VLOOKUP(B213,IF(A213="COMPOSICAO",S!$A:$D,I!$A:$D),3,FALSE)</f>
        <v>H</v>
      </c>
      <c r="H213" s="17">
        <v>0.13</v>
      </c>
      <c r="I213" s="17">
        <f>IF(A213="COMPOSICAO",VLOOKUP("TOTAL - "&amp;B213,COMPOSICAO_AUX_2!$A:$J,10,FALSE),VLOOKUP(B213,I!$A:$D,4,FALSE))</f>
        <v>2.7900000000000005</v>
      </c>
      <c r="J213" s="80">
        <f>TRUNC(H213*I213,2)</f>
        <v>0.36</v>
      </c>
      <c r="K213" s="81"/>
    </row>
    <row r="214" spans="1:13" ht="15" customHeight="1" x14ac:dyDescent="0.25">
      <c r="A214" s="23" t="s">
        <v>555</v>
      </c>
      <c r="B214" s="24"/>
      <c r="C214" s="24"/>
      <c r="D214" s="24"/>
      <c r="E214" s="24"/>
      <c r="F214" s="24"/>
      <c r="G214" s="25"/>
      <c r="H214" s="26"/>
      <c r="I214" s="27"/>
      <c r="J214" s="80">
        <f>SUM(J208:K213)</f>
        <v>10.87</v>
      </c>
      <c r="K214" s="81"/>
    </row>
    <row r="215" spans="1:13" ht="15" customHeight="1" x14ac:dyDescent="0.25">
      <c r="A215" s="3"/>
      <c r="B215" s="3"/>
      <c r="C215" s="3"/>
      <c r="D215" s="3"/>
      <c r="E215" s="3"/>
      <c r="F215" s="3"/>
      <c r="G215" s="3"/>
      <c r="H215" s="3"/>
      <c r="I215" s="3"/>
      <c r="J215" s="3"/>
      <c r="K215" s="3"/>
    </row>
    <row r="216" spans="1:13" ht="15" customHeight="1" x14ac:dyDescent="0.25">
      <c r="A216" s="10" t="s">
        <v>295</v>
      </c>
      <c r="B216" s="10" t="s">
        <v>31</v>
      </c>
      <c r="C216" s="82" t="s">
        <v>7</v>
      </c>
      <c r="D216" s="83"/>
      <c r="E216" s="83"/>
      <c r="F216" s="83"/>
      <c r="G216" s="6" t="s">
        <v>32</v>
      </c>
      <c r="H216" s="6" t="s">
        <v>296</v>
      </c>
      <c r="I216" s="6" t="s">
        <v>297</v>
      </c>
      <c r="J216" s="57" t="s">
        <v>9</v>
      </c>
      <c r="K216" s="58"/>
    </row>
    <row r="217" spans="1:13" ht="15" customHeight="1" x14ac:dyDescent="0.25">
      <c r="A217" s="6" t="s">
        <v>11</v>
      </c>
      <c r="B217" s="6" t="s">
        <v>330</v>
      </c>
      <c r="C217" s="91" t="str">
        <f>VLOOKUP(B217,S!$A:$D,2,FALSE)</f>
        <v>CAIXA DE INSPEÇÃO  0,30 X 0,30 X 0,40M</v>
      </c>
      <c r="D217" s="91"/>
      <c r="E217" s="91"/>
      <c r="F217" s="92"/>
      <c r="G217" s="6" t="str">
        <f>VLOOKUP(B217,S!$A:$D,3,FALSE)</f>
        <v>UN</v>
      </c>
      <c r="H217" s="21"/>
      <c r="I217" s="21">
        <f>J225</f>
        <v>122.65</v>
      </c>
      <c r="J217" s="76"/>
      <c r="K217" s="72"/>
      <c r="L217" s="21">
        <f>VLOOKUP(B217,S!$A:$D,4,FALSE)</f>
        <v>123.78</v>
      </c>
      <c r="M217" s="6" t="str">
        <f>IF(ROUND((L217-I217),2)=0,"OK, confere com a tabela.",IF(ROUND((L217-I217),2)&lt;0,"ACIMA ("&amp;TEXT(ROUND(I217*100/L217,4),"0,0000")&amp;" %) da tabela.","ABAIXO ("&amp;TEXT(ROUND(I217*100/L217,4),"0,0000")&amp;" %) da tabela."))</f>
        <v>ABAIXO (99,0871 %) da tabela.</v>
      </c>
    </row>
    <row r="218" spans="1:13" ht="30" customHeight="1" x14ac:dyDescent="0.25">
      <c r="A218" s="16" t="s">
        <v>302</v>
      </c>
      <c r="B218" s="16" t="s">
        <v>556</v>
      </c>
      <c r="C218" s="77" t="str">
        <f>VLOOKUP(B218,IF(A218="COMPOSICAO",S!$A:$D,I!$A:$D),2,FALSE)</f>
        <v>FORMA PLANA PARA FUNDAÇÕES, EM COMPENSADO RESINADO 12MM, 03 USOS</v>
      </c>
      <c r="D218" s="77"/>
      <c r="E218" s="77"/>
      <c r="F218" s="77"/>
      <c r="G218" s="16" t="str">
        <f>VLOOKUP(B218,IF(A218="COMPOSICAO",S!$A:$D,I!$A:$D),3,FALSE)</f>
        <v>M2</v>
      </c>
      <c r="H218" s="30">
        <v>0.30599999999999999</v>
      </c>
      <c r="I218" s="17">
        <f>IF(A218="COMPOSICAO",VLOOKUP("TOTAL - "&amp;B218,COMPOSICAO_AUX_2!$A:$J,10,FALSE),VLOOKUP(B218,I!$A:$D,4,FALSE))</f>
        <v>78.72999999999999</v>
      </c>
      <c r="J218" s="80">
        <f t="shared" ref="J218:J224" si="10">TRUNC(H218*I218,2)</f>
        <v>24.09</v>
      </c>
      <c r="K218" s="81"/>
    </row>
    <row r="219" spans="1:13" ht="30" customHeight="1" x14ac:dyDescent="0.25">
      <c r="A219" s="16" t="s">
        <v>302</v>
      </c>
      <c r="B219" s="16" t="s">
        <v>434</v>
      </c>
      <c r="C219" s="77" t="str">
        <f>VLOOKUP(B219,IF(A219="COMPOSICAO",S!$A:$D,I!$A:$D),2,FALSE)</f>
        <v>CONCRETO SIMPLES FABRICADO NA OBRA, FCK=15 MPA, LANÇADO E ADENSADO</v>
      </c>
      <c r="D219" s="77"/>
      <c r="E219" s="77"/>
      <c r="F219" s="77"/>
      <c r="G219" s="16" t="str">
        <f>VLOOKUP(B219,IF(A219="COMPOSICAO",S!$A:$D,I!$A:$D),3,FALSE)</f>
        <v>M3</v>
      </c>
      <c r="H219" s="30">
        <v>3.7999999999999999E-2</v>
      </c>
      <c r="I219" s="17">
        <f>IF(A219="COMPOSICAO",VLOOKUP("TOTAL - "&amp;B219,COMPOSICAO_AUX_2!$A:$J,10,FALSE),VLOOKUP(B219,I!$A:$D,4,FALSE))</f>
        <v>449.89</v>
      </c>
      <c r="J219" s="80">
        <f t="shared" si="10"/>
        <v>17.09</v>
      </c>
      <c r="K219" s="81"/>
    </row>
    <row r="220" spans="1:13" ht="60" customHeight="1" x14ac:dyDescent="0.25">
      <c r="A220" s="16" t="s">
        <v>302</v>
      </c>
      <c r="B220" s="16" t="s">
        <v>516</v>
      </c>
      <c r="C220" s="77" t="str">
        <f>VLOOKUP(B220,IF(A220="COMPOSICAO",S!$A:$D,I!$A:$D),2,FALSE)</f>
        <v>AÇO CA - 60 Ø 4,2 A 9,5MM, INCLUSIVE CORTE, DOBRAGEM, MONTAGEM E COLOCACAO DE FERRAGENS NAS FORMAS, PARA SUPERESTRUTURAS E FUNDAÇÕES - R1</v>
      </c>
      <c r="D220" s="77"/>
      <c r="E220" s="77"/>
      <c r="F220" s="77"/>
      <c r="G220" s="16" t="str">
        <f>VLOOKUP(B220,IF(A220="COMPOSICAO",S!$A:$D,I!$A:$D),3,FALSE)</f>
        <v>KG</v>
      </c>
      <c r="H220" s="17">
        <v>0.77</v>
      </c>
      <c r="I220" s="17">
        <f>IF(A220="COMPOSICAO",VLOOKUP("TOTAL - "&amp;B220,COMPOSICAO_AUX_2!$A:$J,10,FALSE),VLOOKUP(B220,I!$A:$D,4,FALSE))</f>
        <v>13.729999999999999</v>
      </c>
      <c r="J220" s="80">
        <f t="shared" si="10"/>
        <v>10.57</v>
      </c>
      <c r="K220" s="81"/>
    </row>
    <row r="221" spans="1:13" ht="60" customHeight="1" x14ac:dyDescent="0.25">
      <c r="A221" s="16" t="s">
        <v>302</v>
      </c>
      <c r="B221" s="16" t="s">
        <v>436</v>
      </c>
      <c r="C221" s="77" t="str">
        <f>VLOOKUP(B221,IF(A221="COMPOSICAO",S!$A:$D,I!$A:$D),2,FALSE)</f>
        <v>ALVENARIA TIJOLO CERÂMICO MACIÇO (5X9X19), ESP = 0,09M (SINGELA), COM ARGAMASSA TRAÇO T5 - 1:2:8 (CIMENTO / CAL / AREIA) C/ JUNTA DE 2,0CM - R1</v>
      </c>
      <c r="D221" s="77"/>
      <c r="E221" s="77"/>
      <c r="F221" s="77"/>
      <c r="G221" s="16" t="str">
        <f>VLOOKUP(B221,IF(A221="COMPOSICAO",S!$A:$D,I!$A:$D),3,FALSE)</f>
        <v>M2</v>
      </c>
      <c r="H221" s="17">
        <v>0.64</v>
      </c>
      <c r="I221" s="17">
        <f>IF(A221="COMPOSICAO",VLOOKUP("TOTAL - "&amp;B221,COMPOSICAO_AUX_2!$A:$J,10,FALSE),VLOOKUP(B221,I!$A:$D,4,FALSE))</f>
        <v>76.84</v>
      </c>
      <c r="J221" s="80">
        <f t="shared" si="10"/>
        <v>49.17</v>
      </c>
      <c r="K221" s="81"/>
    </row>
    <row r="222" spans="1:13" ht="30" customHeight="1" x14ac:dyDescent="0.25">
      <c r="A222" s="16" t="s">
        <v>302</v>
      </c>
      <c r="B222" s="16" t="s">
        <v>317</v>
      </c>
      <c r="C222" s="77" t="str">
        <f>VLOOKUP(B222,IF(A222="COMPOSICAO",S!$A:$D,I!$A:$D),2,FALSE)</f>
        <v>ESCAVAÇÃO MANUAL DE VALA OU CAVA EM MATERIAL DE 1ª CATEGORIA, PROFUNDIDADE ATÉ 1,50M</v>
      </c>
      <c r="D222" s="77"/>
      <c r="E222" s="77"/>
      <c r="F222" s="77"/>
      <c r="G222" s="16" t="str">
        <f>VLOOKUP(B222,IF(A222="COMPOSICAO",S!$A:$D,I!$A:$D),3,FALSE)</f>
        <v>M3</v>
      </c>
      <c r="H222" s="30">
        <v>0.125</v>
      </c>
      <c r="I222" s="17">
        <f>IF(A222="COMPOSICAO",VLOOKUP("TOTAL - "&amp;B222,COMPOSICAO_AUX_2!$A:$J,10,FALSE),VLOOKUP(B222,I!$A:$D,4,FALSE))</f>
        <v>40.53</v>
      </c>
      <c r="J222" s="80">
        <f t="shared" si="10"/>
        <v>5.0599999999999996</v>
      </c>
      <c r="K222" s="81"/>
    </row>
    <row r="223" spans="1:13" ht="30" customHeight="1" x14ac:dyDescent="0.25">
      <c r="A223" s="16" t="s">
        <v>302</v>
      </c>
      <c r="B223" s="16" t="s">
        <v>438</v>
      </c>
      <c r="C223" s="77" t="str">
        <f>VLOOKUP(B223,IF(A223="COMPOSICAO",S!$A:$D,I!$A:$D),2,FALSE)</f>
        <v>CHAPISCO EM PAREDE COM ARGAMASSA TRAÇO T1 - 1:3 (CIMENTO / AREIA) - REVISADO 08/2015</v>
      </c>
      <c r="D223" s="77"/>
      <c r="E223" s="77"/>
      <c r="F223" s="77"/>
      <c r="G223" s="16" t="str">
        <f>VLOOKUP(B223,IF(A223="COMPOSICAO",S!$A:$D,I!$A:$D),3,FALSE)</f>
        <v>M2</v>
      </c>
      <c r="H223" s="17">
        <v>0.48</v>
      </c>
      <c r="I223" s="17">
        <f>IF(A223="COMPOSICAO",VLOOKUP("TOTAL - "&amp;B223,COMPOSICAO_AUX_2!$A:$J,10,FALSE),VLOOKUP(B223,I!$A:$D,4,FALSE))</f>
        <v>5.26</v>
      </c>
      <c r="J223" s="80">
        <f t="shared" si="10"/>
        <v>2.52</v>
      </c>
      <c r="K223" s="81"/>
    </row>
    <row r="224" spans="1:13" ht="30" customHeight="1" x14ac:dyDescent="0.25">
      <c r="A224" s="16" t="s">
        <v>302</v>
      </c>
      <c r="B224" s="16" t="s">
        <v>557</v>
      </c>
      <c r="C224" s="77" t="str">
        <f>VLOOKUP(B224,IF(A224="COMPOSICAO",S!$A:$D,I!$A:$D),2,FALSE)</f>
        <v>REBOCO ESPECIAL DE PAREDE 2CM COM ARGAMASSA TRAÇO T3 - 1:3 CIMENTO / AREIA / VEDACIT</v>
      </c>
      <c r="D224" s="77"/>
      <c r="E224" s="77"/>
      <c r="F224" s="77"/>
      <c r="G224" s="16" t="str">
        <f>VLOOKUP(B224,IF(A224="COMPOSICAO",S!$A:$D,I!$A:$D),3,FALSE)</f>
        <v>M2</v>
      </c>
      <c r="H224" s="17">
        <v>0.48</v>
      </c>
      <c r="I224" s="17">
        <f>IF(A224="COMPOSICAO",VLOOKUP("TOTAL - "&amp;B224,COMPOSICAO_AUX_2!$A:$J,10,FALSE),VLOOKUP(B224,I!$A:$D,4,FALSE))</f>
        <v>29.479999999999997</v>
      </c>
      <c r="J224" s="80">
        <f t="shared" si="10"/>
        <v>14.15</v>
      </c>
      <c r="K224" s="81"/>
    </row>
    <row r="225" spans="1:13" ht="15" customHeight="1" x14ac:dyDescent="0.25">
      <c r="A225" s="23" t="s">
        <v>558</v>
      </c>
      <c r="B225" s="24"/>
      <c r="C225" s="24"/>
      <c r="D225" s="24"/>
      <c r="E225" s="24"/>
      <c r="F225" s="24"/>
      <c r="G225" s="25"/>
      <c r="H225" s="26"/>
      <c r="I225" s="27"/>
      <c r="J225" s="80">
        <f>SUM(J217:K224)</f>
        <v>122.65</v>
      </c>
      <c r="K225" s="81"/>
    </row>
    <row r="226" spans="1:13" ht="15" customHeight="1" x14ac:dyDescent="0.25">
      <c r="A226" s="3"/>
      <c r="B226" s="3"/>
      <c r="C226" s="3"/>
      <c r="D226" s="3"/>
      <c r="E226" s="3"/>
      <c r="F226" s="3"/>
      <c r="G226" s="3"/>
      <c r="H226" s="3"/>
      <c r="I226" s="3"/>
      <c r="J226" s="3"/>
      <c r="K226" s="3"/>
    </row>
    <row r="227" spans="1:13" ht="15" customHeight="1" x14ac:dyDescent="0.25">
      <c r="A227" s="10" t="s">
        <v>295</v>
      </c>
      <c r="B227" s="10" t="s">
        <v>31</v>
      </c>
      <c r="C227" s="82" t="s">
        <v>7</v>
      </c>
      <c r="D227" s="83"/>
      <c r="E227" s="83"/>
      <c r="F227" s="83"/>
      <c r="G227" s="6" t="s">
        <v>32</v>
      </c>
      <c r="H227" s="6" t="s">
        <v>296</v>
      </c>
      <c r="I227" s="6" t="s">
        <v>297</v>
      </c>
      <c r="J227" s="57" t="s">
        <v>9</v>
      </c>
      <c r="K227" s="58"/>
    </row>
    <row r="228" spans="1:13" ht="30" customHeight="1" x14ac:dyDescent="0.25">
      <c r="A228" s="6" t="s">
        <v>11</v>
      </c>
      <c r="B228" s="6" t="s">
        <v>331</v>
      </c>
      <c r="C228" s="91" t="str">
        <f>VLOOKUP(B228,S!$A:$D,2,FALSE)</f>
        <v>TERMINAL DE COMPRESSÃO PARA CABO DE   6 MM2 - FORNECIMENTO E INSTALAÇÃO</v>
      </c>
      <c r="D228" s="91"/>
      <c r="E228" s="91"/>
      <c r="F228" s="92"/>
      <c r="G228" s="6" t="str">
        <f>VLOOKUP(B228,S!$A:$D,3,FALSE)</f>
        <v>UN</v>
      </c>
      <c r="H228" s="21"/>
      <c r="I228" s="21">
        <f>J233</f>
        <v>2.33</v>
      </c>
      <c r="J228" s="76"/>
      <c r="K228" s="72"/>
      <c r="L228" s="21">
        <f>VLOOKUP(B228,S!$A:$D,4,FALSE)</f>
        <v>1.78</v>
      </c>
      <c r="M228" s="6" t="str">
        <f>IF(ROUND((L228-I228),2)=0,"OK, confere com a tabela.",IF(ROUND((L228-I228),2)&lt;0,"ACIMA ("&amp;TEXT(ROUND(I228*100/L228,4),"0,0000")&amp;" %) da tabela.","ABAIXO ("&amp;TEXT(ROUND(I228*100/L228,4),"0,0000")&amp;" %) da tabela."))</f>
        <v>ACIMA (130,8989 %) da tabela.</v>
      </c>
    </row>
    <row r="229" spans="1:13" ht="30" customHeight="1" x14ac:dyDescent="0.25">
      <c r="A229" s="16" t="s">
        <v>306</v>
      </c>
      <c r="B229" s="16" t="s">
        <v>559</v>
      </c>
      <c r="C229" s="77" t="str">
        <f>VLOOKUP(B229,IF(A229="COMPOSICAO",S!$A:$D,I!$A:$D),2,FALSE)</f>
        <v>ALICATE DE COMPRESSÃO PARA TERMINAIS DE COMPRESSÃO DE CABOS COM SEÇÃO ATÉ 120MM2</v>
      </c>
      <c r="D229" s="77"/>
      <c r="E229" s="77"/>
      <c r="F229" s="77"/>
      <c r="G229" s="16" t="str">
        <f>VLOOKUP(B229,IF(A229="COMPOSICAO",S!$A:$D,I!$A:$D),3,FALSE)</f>
        <v>H</v>
      </c>
      <c r="H229" s="30">
        <v>3.3000000000000002E-2</v>
      </c>
      <c r="I229" s="17">
        <f>IF(A229="COMPOSICAO",VLOOKUP("TOTAL - "&amp;B229,COMPOSICAO_AUX_2!$A:$J,10,FALSE),VLOOKUP(B229,I!$A:$D,4,FALSE))</f>
        <v>2.33</v>
      </c>
      <c r="J229" s="80">
        <f>TRUNC(H229*I229,2)</f>
        <v>7.0000000000000007E-2</v>
      </c>
      <c r="K229" s="81"/>
    </row>
    <row r="230" spans="1:13" ht="45" customHeight="1" x14ac:dyDescent="0.25">
      <c r="A230" s="16" t="s">
        <v>306</v>
      </c>
      <c r="B230" s="20">
        <v>1573</v>
      </c>
      <c r="C230" s="77" t="str">
        <f>VLOOKUP(B230,IF(A230="COMPOSICAO",S!$A:$D,I!$A:$D),2,FALSE)</f>
        <v>TERMINAL A COMPRESSAO EM COBRE ESTANHADO PARA CABO 6 MM2, 1 FURO E 1 COMPRESSAO, PARA PARAFUSO DE FIXACAO M6</v>
      </c>
      <c r="D230" s="77"/>
      <c r="E230" s="77"/>
      <c r="F230" s="77"/>
      <c r="G230" s="16" t="str">
        <f>VLOOKUP(B230,IF(A230="COMPOSICAO",S!$A:$D,I!$A:$D),3,FALSE)</f>
        <v>UN</v>
      </c>
      <c r="H230" s="17">
        <v>1</v>
      </c>
      <c r="I230" s="17">
        <f>IF(A230="COMPOSICAO",VLOOKUP("TOTAL - "&amp;B230,COMPOSICAO_AUX_2!$A:$J,10,FALSE),VLOOKUP(B230,I!$A:$D,4,FALSE))</f>
        <v>1.56</v>
      </c>
      <c r="J230" s="80">
        <f>TRUNC(H230*I230,2)</f>
        <v>1.56</v>
      </c>
      <c r="K230" s="81"/>
    </row>
    <row r="231" spans="1:13" ht="15" customHeight="1" x14ac:dyDescent="0.25">
      <c r="A231" s="16" t="s">
        <v>306</v>
      </c>
      <c r="B231" s="20">
        <v>2436</v>
      </c>
      <c r="C231" s="77" t="str">
        <f>VLOOKUP(B231,IF(A231="COMPOSICAO",S!$A:$D,I!$A:$D),2,FALSE)</f>
        <v>ELETRICISTA</v>
      </c>
      <c r="D231" s="77"/>
      <c r="E231" s="77"/>
      <c r="F231" s="77"/>
      <c r="G231" s="16" t="str">
        <f>VLOOKUP(B231,IF(A231="COMPOSICAO",S!$A:$D,I!$A:$D),3,FALSE)</f>
        <v>H</v>
      </c>
      <c r="H231" s="17">
        <v>0.04</v>
      </c>
      <c r="I231" s="17">
        <f>IF(A231="COMPOSICAO",VLOOKUP("TOTAL - "&amp;B231,COMPOSICAO_AUX_2!$A:$J,10,FALSE),VLOOKUP(B231,I!$A:$D,4,FALSE))</f>
        <v>14.93</v>
      </c>
      <c r="J231" s="80">
        <f>TRUNC(H231*I231,2)</f>
        <v>0.59</v>
      </c>
      <c r="K231" s="81"/>
    </row>
    <row r="232" spans="1:13" ht="15" customHeight="1" x14ac:dyDescent="0.25">
      <c r="A232" s="16" t="s">
        <v>302</v>
      </c>
      <c r="B232" s="16" t="s">
        <v>467</v>
      </c>
      <c r="C232" s="77" t="str">
        <f>VLOOKUP(B232,IF(A232="COMPOSICAO",S!$A:$D,I!$A:$D),2,FALSE)</f>
        <v>ENCARGOS COMPLEMENTARES - ELETRICISTA</v>
      </c>
      <c r="D232" s="77"/>
      <c r="E232" s="77"/>
      <c r="F232" s="77"/>
      <c r="G232" s="16" t="str">
        <f>VLOOKUP(B232,IF(A232="COMPOSICAO",S!$A:$D,I!$A:$D),3,FALSE)</f>
        <v>H</v>
      </c>
      <c r="H232" s="17">
        <v>0.04</v>
      </c>
      <c r="I232" s="17">
        <f>IF(A232="COMPOSICAO",VLOOKUP("TOTAL - "&amp;B232,COMPOSICAO_AUX_2!$A:$J,10,FALSE),VLOOKUP(B232,I!$A:$D,4,FALSE))</f>
        <v>2.7900000000000005</v>
      </c>
      <c r="J232" s="80">
        <f>TRUNC(H232*I232,2)</f>
        <v>0.11</v>
      </c>
      <c r="K232" s="81"/>
    </row>
    <row r="233" spans="1:13" ht="15" customHeight="1" x14ac:dyDescent="0.25">
      <c r="A233" s="23" t="s">
        <v>560</v>
      </c>
      <c r="B233" s="24"/>
      <c r="C233" s="24"/>
      <c r="D233" s="24"/>
      <c r="E233" s="24"/>
      <c r="F233" s="24"/>
      <c r="G233" s="25"/>
      <c r="H233" s="26"/>
      <c r="I233" s="27"/>
      <c r="J233" s="80">
        <f>SUM(J228:K232)</f>
        <v>2.33</v>
      </c>
      <c r="K233" s="81"/>
    </row>
    <row r="234" spans="1:13" ht="15" customHeight="1" x14ac:dyDescent="0.25">
      <c r="A234" s="3"/>
      <c r="B234" s="3"/>
      <c r="C234" s="3"/>
      <c r="D234" s="3"/>
      <c r="E234" s="3"/>
      <c r="F234" s="3"/>
      <c r="G234" s="3"/>
      <c r="H234" s="3"/>
      <c r="I234" s="3"/>
      <c r="J234" s="3"/>
      <c r="K234" s="3"/>
    </row>
    <row r="235" spans="1:13" ht="15" customHeight="1" x14ac:dyDescent="0.25">
      <c r="A235" s="10" t="s">
        <v>295</v>
      </c>
      <c r="B235" s="10" t="s">
        <v>31</v>
      </c>
      <c r="C235" s="82" t="s">
        <v>7</v>
      </c>
      <c r="D235" s="83"/>
      <c r="E235" s="83"/>
      <c r="F235" s="83"/>
      <c r="G235" s="6" t="s">
        <v>32</v>
      </c>
      <c r="H235" s="6" t="s">
        <v>296</v>
      </c>
      <c r="I235" s="6" t="s">
        <v>297</v>
      </c>
      <c r="J235" s="57" t="s">
        <v>9</v>
      </c>
      <c r="K235" s="58"/>
    </row>
    <row r="236" spans="1:13" ht="30" customHeight="1" x14ac:dyDescent="0.25">
      <c r="A236" s="6" t="s">
        <v>11</v>
      </c>
      <c r="B236" s="6" t="s">
        <v>332</v>
      </c>
      <c r="C236" s="91" t="str">
        <f>VLOOKUP(B236,S!$A:$D,2,FALSE)</f>
        <v>POSTE AUXILIAR P/ENTRADA ENERGIA, MONOFASICO, FERRO GALVANIZADO D=3" E H=5,0M, COMPLETO</v>
      </c>
      <c r="D236" s="91"/>
      <c r="E236" s="91"/>
      <c r="F236" s="92"/>
      <c r="G236" s="6" t="str">
        <f>VLOOKUP(B236,S!$A:$D,3,FALSE)</f>
        <v>UN</v>
      </c>
      <c r="H236" s="21"/>
      <c r="I236" s="21">
        <f>J245</f>
        <v>1025.48</v>
      </c>
      <c r="J236" s="76"/>
      <c r="K236" s="72"/>
      <c r="L236" s="21">
        <f>VLOOKUP(B236,S!$A:$D,4,FALSE)</f>
        <v>715.67</v>
      </c>
      <c r="M236" s="6" t="str">
        <f>IF(ROUND((L236-I236),2)=0,"OK, confere com a tabela.",IF(ROUND((L236-I236),2)&lt;0,"ACIMA ("&amp;TEXT(ROUND(I236*100/L236,4),"0,0000")&amp;" %) da tabela.","ABAIXO ("&amp;TEXT(ROUND(I236*100/L236,4),"0,0000")&amp;" %) da tabela."))</f>
        <v>ACIMA (143,2895 %) da tabela.</v>
      </c>
    </row>
    <row r="237" spans="1:13" ht="15" customHeight="1" x14ac:dyDescent="0.25">
      <c r="A237" s="16" t="s">
        <v>306</v>
      </c>
      <c r="B237" s="16" t="s">
        <v>561</v>
      </c>
      <c r="C237" s="77" t="str">
        <f>VLOOKUP(B237,IF(A237="COMPOSICAO",S!$A:$D,I!$A:$D),2,FALSE)</f>
        <v>BRAQUETE MONOFÁSICO</v>
      </c>
      <c r="D237" s="77"/>
      <c r="E237" s="77"/>
      <c r="F237" s="77"/>
      <c r="G237" s="16" t="str">
        <f>VLOOKUP(B237,IF(A237="COMPOSICAO",S!$A:$D,I!$A:$D),3,FALSE)</f>
        <v>UN</v>
      </c>
      <c r="H237" s="17">
        <v>1</v>
      </c>
      <c r="I237" s="17">
        <f>IF(A237="COMPOSICAO",VLOOKUP("TOTAL - "&amp;B237,COMPOSICAO_AUX_2!$A:$J,10,FALSE),VLOOKUP(B237,I!$A:$D,4,FALSE))</f>
        <v>7.47</v>
      </c>
      <c r="J237" s="80">
        <f t="shared" ref="J237:J244" si="11">TRUNC(H237*I237,2)</f>
        <v>7.47</v>
      </c>
      <c r="K237" s="81"/>
    </row>
    <row r="238" spans="1:13" ht="15" customHeight="1" x14ac:dyDescent="0.25">
      <c r="A238" s="16" t="s">
        <v>306</v>
      </c>
      <c r="B238" s="20">
        <v>4750</v>
      </c>
      <c r="C238" s="77" t="str">
        <f>VLOOKUP(B238,IF(A238="COMPOSICAO",S!$A:$D,I!$A:$D),2,FALSE)</f>
        <v>PEDREIRO</v>
      </c>
      <c r="D238" s="77"/>
      <c r="E238" s="77"/>
      <c r="F238" s="77"/>
      <c r="G238" s="16" t="str">
        <f>VLOOKUP(B238,IF(A238="COMPOSICAO",S!$A:$D,I!$A:$D),3,FALSE)</f>
        <v>H</v>
      </c>
      <c r="H238" s="17">
        <v>1.5</v>
      </c>
      <c r="I238" s="17">
        <f>IF(A238="COMPOSICAO",VLOOKUP("TOTAL - "&amp;B238,COMPOSICAO_AUX_2!$A:$J,10,FALSE),VLOOKUP(B238,I!$A:$D,4,FALSE))</f>
        <v>14.93</v>
      </c>
      <c r="J238" s="80">
        <f t="shared" si="11"/>
        <v>22.39</v>
      </c>
      <c r="K238" s="81"/>
    </row>
    <row r="239" spans="1:13" ht="15" customHeight="1" x14ac:dyDescent="0.25">
      <c r="A239" s="16" t="s">
        <v>306</v>
      </c>
      <c r="B239" s="20">
        <v>6111</v>
      </c>
      <c r="C239" s="77" t="str">
        <f>VLOOKUP(B239,IF(A239="COMPOSICAO",S!$A:$D,I!$A:$D),2,FALSE)</f>
        <v>SERVENTE DE OBRAS</v>
      </c>
      <c r="D239" s="77"/>
      <c r="E239" s="77"/>
      <c r="F239" s="77"/>
      <c r="G239" s="16" t="str">
        <f>VLOOKUP(B239,IF(A239="COMPOSICAO",S!$A:$D,I!$A:$D),3,FALSE)</f>
        <v>H</v>
      </c>
      <c r="H239" s="17">
        <v>1.5</v>
      </c>
      <c r="I239" s="17">
        <f>IF(A239="COMPOSICAO",VLOOKUP("TOTAL - "&amp;B239,COMPOSICAO_AUX_2!$A:$J,10,FALSE),VLOOKUP(B239,I!$A:$D,4,FALSE))</f>
        <v>10.6</v>
      </c>
      <c r="J239" s="80">
        <f t="shared" si="11"/>
        <v>15.9</v>
      </c>
      <c r="K239" s="81"/>
    </row>
    <row r="240" spans="1:13" ht="45" customHeight="1" x14ac:dyDescent="0.25">
      <c r="A240" s="16" t="s">
        <v>306</v>
      </c>
      <c r="B240" s="20">
        <v>21015</v>
      </c>
      <c r="C240" s="77" t="str">
        <f>VLOOKUP(B240,IF(A240="COMPOSICAO",S!$A:$D,I!$A:$D),2,FALSE)</f>
        <v>TUBO ACO GALVANIZADO COM COSTURA, CLASSE LEVE, DN 80 MM ( 3"),  E = 3,35 MM, *7,32* KG/M (NBR 5580)</v>
      </c>
      <c r="D240" s="77"/>
      <c r="E240" s="77"/>
      <c r="F240" s="77"/>
      <c r="G240" s="16" t="str">
        <f>VLOOKUP(B240,IF(A240="COMPOSICAO",S!$A:$D,I!$A:$D),3,FALSE)</f>
        <v>M</v>
      </c>
      <c r="H240" s="17">
        <v>6</v>
      </c>
      <c r="I240" s="17">
        <f>IF(A240="COMPOSICAO",VLOOKUP("TOTAL - "&amp;B240,COMPOSICAO_AUX_2!$A:$J,10,FALSE),VLOOKUP(B240,I!$A:$D,4,FALSE))</f>
        <v>154.88</v>
      </c>
      <c r="J240" s="80">
        <f t="shared" si="11"/>
        <v>929.28</v>
      </c>
      <c r="K240" s="81"/>
    </row>
    <row r="241" spans="1:13" ht="30" customHeight="1" x14ac:dyDescent="0.25">
      <c r="A241" s="16" t="s">
        <v>302</v>
      </c>
      <c r="B241" s="16" t="s">
        <v>433</v>
      </c>
      <c r="C241" s="77" t="str">
        <f>VLOOKUP(B241,IF(A241="COMPOSICAO",S!$A:$D,I!$A:$D),2,FALSE)</f>
        <v>CONCRETO SIMPLES FABRICADO NA OBRA, FCK=13,5 MPA, LANÇADO E ADENSADO</v>
      </c>
      <c r="D241" s="77"/>
      <c r="E241" s="77"/>
      <c r="F241" s="77"/>
      <c r="G241" s="16" t="str">
        <f>VLOOKUP(B241,IF(A241="COMPOSICAO",S!$A:$D,I!$A:$D),3,FALSE)</f>
        <v>M3</v>
      </c>
      <c r="H241" s="17">
        <v>0.09</v>
      </c>
      <c r="I241" s="17">
        <f>IF(A241="COMPOSICAO",VLOOKUP("TOTAL - "&amp;B241,COMPOSICAO_AUX_2!$A:$J,10,FALSE),VLOOKUP(B241,I!$A:$D,4,FALSE))</f>
        <v>424.89</v>
      </c>
      <c r="J241" s="80">
        <f t="shared" si="11"/>
        <v>38.24</v>
      </c>
      <c r="K241" s="81"/>
    </row>
    <row r="242" spans="1:13" ht="30" customHeight="1" x14ac:dyDescent="0.25">
      <c r="A242" s="16" t="s">
        <v>302</v>
      </c>
      <c r="B242" s="16" t="s">
        <v>317</v>
      </c>
      <c r="C242" s="77" t="str">
        <f>VLOOKUP(B242,IF(A242="COMPOSICAO",S!$A:$D,I!$A:$D),2,FALSE)</f>
        <v>ESCAVAÇÃO MANUAL DE VALA OU CAVA EM MATERIAL DE 1ª CATEGORIA, PROFUNDIDADE ATÉ 1,50M</v>
      </c>
      <c r="D242" s="77"/>
      <c r="E242" s="77"/>
      <c r="F242" s="77"/>
      <c r="G242" s="16" t="str">
        <f>VLOOKUP(B242,IF(A242="COMPOSICAO",S!$A:$D,I!$A:$D),3,FALSE)</f>
        <v>M3</v>
      </c>
      <c r="H242" s="17">
        <v>0.09</v>
      </c>
      <c r="I242" s="17">
        <f>IF(A242="COMPOSICAO",VLOOKUP("TOTAL - "&amp;B242,COMPOSICAO_AUX_2!$A:$J,10,FALSE),VLOOKUP(B242,I!$A:$D,4,FALSE))</f>
        <v>40.53</v>
      </c>
      <c r="J242" s="80">
        <f t="shared" si="11"/>
        <v>3.64</v>
      </c>
      <c r="K242" s="81"/>
    </row>
    <row r="243" spans="1:13" ht="15" customHeight="1" x14ac:dyDescent="0.25">
      <c r="A243" s="16" t="s">
        <v>302</v>
      </c>
      <c r="B243" s="16" t="s">
        <v>319</v>
      </c>
      <c r="C243" s="77" t="str">
        <f>VLOOKUP(B243,IF(A243="COMPOSICAO",S!$A:$D,I!$A:$D),2,FALSE)</f>
        <v>ENCARGOS COMPLEMENTARES - SERVENTE</v>
      </c>
      <c r="D243" s="77"/>
      <c r="E243" s="77"/>
      <c r="F243" s="77"/>
      <c r="G243" s="16" t="str">
        <f>VLOOKUP(B243,IF(A243="COMPOSICAO",S!$A:$D,I!$A:$D),3,FALSE)</f>
        <v>H</v>
      </c>
      <c r="H243" s="17">
        <v>1.5</v>
      </c>
      <c r="I243" s="17">
        <f>IF(A243="COMPOSICAO",VLOOKUP("TOTAL - "&amp;B243,COMPOSICAO_AUX_2!$A:$J,10,FALSE),VLOOKUP(B243,I!$A:$D,4,FALSE))</f>
        <v>2.9100000000000006</v>
      </c>
      <c r="J243" s="80">
        <f t="shared" si="11"/>
        <v>4.3600000000000003</v>
      </c>
      <c r="K243" s="81"/>
    </row>
    <row r="244" spans="1:13" ht="15" customHeight="1" x14ac:dyDescent="0.25">
      <c r="A244" s="16" t="s">
        <v>302</v>
      </c>
      <c r="B244" s="16" t="s">
        <v>383</v>
      </c>
      <c r="C244" s="77" t="str">
        <f>VLOOKUP(B244,IF(A244="COMPOSICAO",S!$A:$D,I!$A:$D),2,FALSE)</f>
        <v>ENCARGOS COMPLEMENTARES - PEDREIRO</v>
      </c>
      <c r="D244" s="77"/>
      <c r="E244" s="77"/>
      <c r="F244" s="77"/>
      <c r="G244" s="16" t="str">
        <f>VLOOKUP(B244,IF(A244="COMPOSICAO",S!$A:$D,I!$A:$D),3,FALSE)</f>
        <v>H</v>
      </c>
      <c r="H244" s="17">
        <v>1.5</v>
      </c>
      <c r="I244" s="17">
        <f>IF(A244="COMPOSICAO",VLOOKUP("TOTAL - "&amp;B244,COMPOSICAO_AUX_2!$A:$J,10,FALSE),VLOOKUP(B244,I!$A:$D,4,FALSE))</f>
        <v>2.8000000000000003</v>
      </c>
      <c r="J244" s="80">
        <f t="shared" si="11"/>
        <v>4.2</v>
      </c>
      <c r="K244" s="81"/>
    </row>
    <row r="245" spans="1:13" ht="15" customHeight="1" x14ac:dyDescent="0.25">
      <c r="A245" s="23" t="s">
        <v>562</v>
      </c>
      <c r="B245" s="24"/>
      <c r="C245" s="24"/>
      <c r="D245" s="24"/>
      <c r="E245" s="24"/>
      <c r="F245" s="24"/>
      <c r="G245" s="25"/>
      <c r="H245" s="26"/>
      <c r="I245" s="27"/>
      <c r="J245" s="80">
        <f>SUM(J236:K244)</f>
        <v>1025.48</v>
      </c>
      <c r="K245" s="81"/>
    </row>
    <row r="246" spans="1:13" ht="15" customHeight="1" x14ac:dyDescent="0.25">
      <c r="A246" s="3"/>
      <c r="B246" s="3"/>
      <c r="C246" s="3"/>
      <c r="D246" s="3"/>
      <c r="E246" s="3"/>
      <c r="F246" s="3"/>
      <c r="G246" s="3"/>
      <c r="H246" s="3"/>
      <c r="I246" s="3"/>
      <c r="J246" s="3"/>
      <c r="K246" s="3"/>
    </row>
    <row r="247" spans="1:13" ht="15" customHeight="1" x14ac:dyDescent="0.25">
      <c r="A247" s="10" t="s">
        <v>295</v>
      </c>
      <c r="B247" s="10" t="s">
        <v>31</v>
      </c>
      <c r="C247" s="82" t="s">
        <v>7</v>
      </c>
      <c r="D247" s="83"/>
      <c r="E247" s="83"/>
      <c r="F247" s="83"/>
      <c r="G247" s="6" t="s">
        <v>32</v>
      </c>
      <c r="H247" s="6" t="s">
        <v>296</v>
      </c>
      <c r="I247" s="6" t="s">
        <v>297</v>
      </c>
      <c r="J247" s="57" t="s">
        <v>9</v>
      </c>
      <c r="K247" s="58"/>
    </row>
    <row r="248" spans="1:13" ht="30" customHeight="1" x14ac:dyDescent="0.25">
      <c r="A248" s="6" t="s">
        <v>11</v>
      </c>
      <c r="B248" s="6" t="s">
        <v>333</v>
      </c>
      <c r="C248" s="91" t="str">
        <f>VLOOKUP(B248,S!$A:$D,2,FALSE)</f>
        <v>HASTE COBREADA COPPERWELD P/ATERRAMENTO D=  5/8" X 2,40M</v>
      </c>
      <c r="D248" s="91"/>
      <c r="E248" s="91"/>
      <c r="F248" s="92"/>
      <c r="G248" s="6" t="str">
        <f>VLOOKUP(B248,S!$A:$D,3,FALSE)</f>
        <v>UN</v>
      </c>
      <c r="H248" s="21"/>
      <c r="I248" s="21">
        <f>J254</f>
        <v>38.949999999999996</v>
      </c>
      <c r="J248" s="76"/>
      <c r="K248" s="72"/>
      <c r="L248" s="21">
        <f>VLOOKUP(B248,S!$A:$D,4,FALSE)</f>
        <v>38.69</v>
      </c>
      <c r="M248" s="6" t="str">
        <f>IF(ROUND((L248-I248),2)=0,"OK, confere com a tabela.",IF(ROUND((L248-I248),2)&lt;0,"ACIMA ("&amp;TEXT(ROUND(I248*100/L248,4),"0,0000")&amp;" %) da tabela.","ABAIXO ("&amp;TEXT(ROUND(I248*100/L248,4),"0,0000")&amp;" %) da tabela."))</f>
        <v>ACIMA (100,6720 %) da tabela.</v>
      </c>
    </row>
    <row r="249" spans="1:13" ht="30" customHeight="1" x14ac:dyDescent="0.25">
      <c r="A249" s="16" t="s">
        <v>306</v>
      </c>
      <c r="B249" s="16" t="s">
        <v>563</v>
      </c>
      <c r="C249" s="77" t="str">
        <f>VLOOKUP(B249,IF(A249="COMPOSICAO",S!$A:$D,I!$A:$D),2,FALSE)</f>
        <v>HASTE COBREADA COPPERWELD P/ATERRAMENTO D=  5/8" X 2,40M, EXCLUSO CONECTOR</v>
      </c>
      <c r="D249" s="77"/>
      <c r="E249" s="77"/>
      <c r="F249" s="77"/>
      <c r="G249" s="16" t="str">
        <f>VLOOKUP(B249,IF(A249="COMPOSICAO",S!$A:$D,I!$A:$D),3,FALSE)</f>
        <v>UN</v>
      </c>
      <c r="H249" s="17">
        <v>1</v>
      </c>
      <c r="I249" s="17">
        <f>IF(A249="COMPOSICAO",VLOOKUP("TOTAL - "&amp;B249,COMPOSICAO_AUX_2!$A:$J,10,FALSE),VLOOKUP(B249,I!$A:$D,4,FALSE))</f>
        <v>29.6</v>
      </c>
      <c r="J249" s="80">
        <f>TRUNC(H249*I249,2)</f>
        <v>29.6</v>
      </c>
      <c r="K249" s="81"/>
    </row>
    <row r="250" spans="1:13" ht="15" customHeight="1" x14ac:dyDescent="0.25">
      <c r="A250" s="16" t="s">
        <v>306</v>
      </c>
      <c r="B250" s="20">
        <v>2436</v>
      </c>
      <c r="C250" s="77" t="str">
        <f>VLOOKUP(B250,IF(A250="COMPOSICAO",S!$A:$D,I!$A:$D),2,FALSE)</f>
        <v>ELETRICISTA</v>
      </c>
      <c r="D250" s="77"/>
      <c r="E250" s="77"/>
      <c r="F250" s="77"/>
      <c r="G250" s="16" t="str">
        <f>VLOOKUP(B250,IF(A250="COMPOSICAO",S!$A:$D,I!$A:$D),3,FALSE)</f>
        <v>H</v>
      </c>
      <c r="H250" s="17">
        <v>0.3</v>
      </c>
      <c r="I250" s="17">
        <f>IF(A250="COMPOSICAO",VLOOKUP("TOTAL - "&amp;B250,COMPOSICAO_AUX_2!$A:$J,10,FALSE),VLOOKUP(B250,I!$A:$D,4,FALSE))</f>
        <v>14.93</v>
      </c>
      <c r="J250" s="80">
        <f>TRUNC(H250*I250,2)</f>
        <v>4.47</v>
      </c>
      <c r="K250" s="81"/>
    </row>
    <row r="251" spans="1:13" ht="15" customHeight="1" x14ac:dyDescent="0.25">
      <c r="A251" s="16" t="s">
        <v>306</v>
      </c>
      <c r="B251" s="20">
        <v>6111</v>
      </c>
      <c r="C251" s="77" t="str">
        <f>VLOOKUP(B251,IF(A251="COMPOSICAO",S!$A:$D,I!$A:$D),2,FALSE)</f>
        <v>SERVENTE DE OBRAS</v>
      </c>
      <c r="D251" s="77"/>
      <c r="E251" s="77"/>
      <c r="F251" s="77"/>
      <c r="G251" s="16" t="str">
        <f>VLOOKUP(B251,IF(A251="COMPOSICAO",S!$A:$D,I!$A:$D),3,FALSE)</f>
        <v>H</v>
      </c>
      <c r="H251" s="17">
        <v>0.3</v>
      </c>
      <c r="I251" s="17">
        <f>IF(A251="COMPOSICAO",VLOOKUP("TOTAL - "&amp;B251,COMPOSICAO_AUX_2!$A:$J,10,FALSE),VLOOKUP(B251,I!$A:$D,4,FALSE))</f>
        <v>10.6</v>
      </c>
      <c r="J251" s="80">
        <f>TRUNC(H251*I251,2)</f>
        <v>3.18</v>
      </c>
      <c r="K251" s="81"/>
    </row>
    <row r="252" spans="1:13" ht="15" customHeight="1" x14ac:dyDescent="0.25">
      <c r="A252" s="16" t="s">
        <v>302</v>
      </c>
      <c r="B252" s="16" t="s">
        <v>319</v>
      </c>
      <c r="C252" s="77" t="str">
        <f>VLOOKUP(B252,IF(A252="COMPOSICAO",S!$A:$D,I!$A:$D),2,FALSE)</f>
        <v>ENCARGOS COMPLEMENTARES - SERVENTE</v>
      </c>
      <c r="D252" s="77"/>
      <c r="E252" s="77"/>
      <c r="F252" s="77"/>
      <c r="G252" s="16" t="str">
        <f>VLOOKUP(B252,IF(A252="COMPOSICAO",S!$A:$D,I!$A:$D),3,FALSE)</f>
        <v>H</v>
      </c>
      <c r="H252" s="17">
        <v>0.3</v>
      </c>
      <c r="I252" s="17">
        <f>IF(A252="COMPOSICAO",VLOOKUP("TOTAL - "&amp;B252,COMPOSICAO_AUX_2!$A:$J,10,FALSE),VLOOKUP(B252,I!$A:$D,4,FALSE))</f>
        <v>2.9100000000000006</v>
      </c>
      <c r="J252" s="80">
        <f>TRUNC(H252*I252,2)</f>
        <v>0.87</v>
      </c>
      <c r="K252" s="81"/>
    </row>
    <row r="253" spans="1:13" ht="15" customHeight="1" x14ac:dyDescent="0.25">
      <c r="A253" s="16" t="s">
        <v>302</v>
      </c>
      <c r="B253" s="16" t="s">
        <v>467</v>
      </c>
      <c r="C253" s="77" t="str">
        <f>VLOOKUP(B253,IF(A253="COMPOSICAO",S!$A:$D,I!$A:$D),2,FALSE)</f>
        <v>ENCARGOS COMPLEMENTARES - ELETRICISTA</v>
      </c>
      <c r="D253" s="77"/>
      <c r="E253" s="77"/>
      <c r="F253" s="77"/>
      <c r="G253" s="16" t="str">
        <f>VLOOKUP(B253,IF(A253="COMPOSICAO",S!$A:$D,I!$A:$D),3,FALSE)</f>
        <v>H</v>
      </c>
      <c r="H253" s="17">
        <v>0.3</v>
      </c>
      <c r="I253" s="17">
        <f>IF(A253="COMPOSICAO",VLOOKUP("TOTAL - "&amp;B253,COMPOSICAO_AUX_2!$A:$J,10,FALSE),VLOOKUP(B253,I!$A:$D,4,FALSE))</f>
        <v>2.7900000000000005</v>
      </c>
      <c r="J253" s="80">
        <f>TRUNC(H253*I253,2)</f>
        <v>0.83</v>
      </c>
      <c r="K253" s="81"/>
    </row>
    <row r="254" spans="1:13" ht="15" customHeight="1" x14ac:dyDescent="0.25">
      <c r="A254" s="23" t="s">
        <v>564</v>
      </c>
      <c r="B254" s="24"/>
      <c r="C254" s="24"/>
      <c r="D254" s="24"/>
      <c r="E254" s="24"/>
      <c r="F254" s="24"/>
      <c r="G254" s="25"/>
      <c r="H254" s="26"/>
      <c r="I254" s="27"/>
      <c r="J254" s="80">
        <f>SUM(J248:K253)</f>
        <v>38.949999999999996</v>
      </c>
      <c r="K254" s="81"/>
    </row>
    <row r="255" spans="1:13" ht="15" customHeight="1" x14ac:dyDescent="0.25">
      <c r="A255" s="3"/>
      <c r="B255" s="3"/>
      <c r="C255" s="3"/>
      <c r="D255" s="3"/>
      <c r="E255" s="3"/>
      <c r="F255" s="3"/>
      <c r="G255" s="3"/>
      <c r="H255" s="3"/>
      <c r="I255" s="3"/>
      <c r="J255" s="3"/>
      <c r="K255" s="3"/>
    </row>
    <row r="256" spans="1:13" ht="15" customHeight="1" x14ac:dyDescent="0.25">
      <c r="A256" s="10" t="s">
        <v>295</v>
      </c>
      <c r="B256" s="10" t="s">
        <v>31</v>
      </c>
      <c r="C256" s="82" t="s">
        <v>7</v>
      </c>
      <c r="D256" s="83"/>
      <c r="E256" s="83"/>
      <c r="F256" s="83"/>
      <c r="G256" s="6" t="s">
        <v>32</v>
      </c>
      <c r="H256" s="6" t="s">
        <v>296</v>
      </c>
      <c r="I256" s="6" t="s">
        <v>297</v>
      </c>
      <c r="J256" s="57" t="s">
        <v>9</v>
      </c>
      <c r="K256" s="58"/>
    </row>
    <row r="257" spans="1:13" ht="30" customHeight="1" x14ac:dyDescent="0.25">
      <c r="A257" s="6" t="s">
        <v>11</v>
      </c>
      <c r="B257" s="6" t="s">
        <v>334</v>
      </c>
      <c r="C257" s="91" t="str">
        <f>VLOOKUP(B257,S!$A:$D,2,FALSE)</f>
        <v>DISJUNTOR TERMOMAGNETICO MONOPOLAR 32 A, PADRÃO DIN (EUROPEU - LINHA BRANCA)</v>
      </c>
      <c r="D257" s="91"/>
      <c r="E257" s="91"/>
      <c r="F257" s="92"/>
      <c r="G257" s="6" t="str">
        <f>VLOOKUP(B257,S!$A:$D,3,FALSE)</f>
        <v>UN</v>
      </c>
      <c r="H257" s="21"/>
      <c r="I257" s="21">
        <f>J263</f>
        <v>17.049999999999997</v>
      </c>
      <c r="J257" s="76"/>
      <c r="K257" s="72"/>
      <c r="L257" s="21">
        <f>VLOOKUP(B257,S!$A:$D,4,FALSE)</f>
        <v>16.79</v>
      </c>
      <c r="M257" s="6" t="str">
        <f>IF(ROUND((L257-I257),2)=0,"OK, confere com a tabela.",IF(ROUND((L257-I257),2)&lt;0,"ACIMA ("&amp;TEXT(ROUND(I257*100/L257,4),"0,0000")&amp;" %) da tabela.","ABAIXO ("&amp;TEXT(ROUND(I257*100/L257,4),"0,0000")&amp;" %) da tabela."))</f>
        <v>ACIMA (101,5485 %) da tabela.</v>
      </c>
    </row>
    <row r="258" spans="1:13" ht="60" customHeight="1" x14ac:dyDescent="0.25">
      <c r="A258" s="16" t="s">
        <v>306</v>
      </c>
      <c r="B258" s="16" t="s">
        <v>565</v>
      </c>
      <c r="C258" s="77" t="str">
        <f>VLOOKUP(B258,IF(A258="COMPOSICAO",S!$A:$D,I!$A:$D),2,FALSE)</f>
        <v>DISJUNTOR MONOPOLAR 32 A, PADRÃO DIN (LINHA BRANCA), CURVA DE DISPARO C, CORRENTE DE INTERRUPÇÃO 5KA, REF.: SIEMENS 5 SX1 OU SIMILAR.</v>
      </c>
      <c r="D258" s="77"/>
      <c r="E258" s="77"/>
      <c r="F258" s="77"/>
      <c r="G258" s="16" t="str">
        <f>VLOOKUP(B258,IF(A258="COMPOSICAO",S!$A:$D,I!$A:$D),3,FALSE)</f>
        <v>UN</v>
      </c>
      <c r="H258" s="17">
        <v>1</v>
      </c>
      <c r="I258" s="17">
        <f>IF(A258="COMPOSICAO",VLOOKUP("TOTAL - "&amp;B258,COMPOSICAO_AUX_2!$A:$J,10,FALSE),VLOOKUP(B258,I!$A:$D,4,FALSE))</f>
        <v>7.7</v>
      </c>
      <c r="J258" s="80">
        <f>TRUNC(H258*I258,2)</f>
        <v>7.7</v>
      </c>
      <c r="K258" s="81"/>
    </row>
    <row r="259" spans="1:13" ht="15" customHeight="1" x14ac:dyDescent="0.25">
      <c r="A259" s="16" t="s">
        <v>306</v>
      </c>
      <c r="B259" s="20">
        <v>2436</v>
      </c>
      <c r="C259" s="77" t="str">
        <f>VLOOKUP(B259,IF(A259="COMPOSICAO",S!$A:$D,I!$A:$D),2,FALSE)</f>
        <v>ELETRICISTA</v>
      </c>
      <c r="D259" s="77"/>
      <c r="E259" s="77"/>
      <c r="F259" s="77"/>
      <c r="G259" s="16" t="str">
        <f>VLOOKUP(B259,IF(A259="COMPOSICAO",S!$A:$D,I!$A:$D),3,FALSE)</f>
        <v>H</v>
      </c>
      <c r="H259" s="17">
        <v>0.3</v>
      </c>
      <c r="I259" s="17">
        <f>IF(A259="COMPOSICAO",VLOOKUP("TOTAL - "&amp;B259,COMPOSICAO_AUX_2!$A:$J,10,FALSE),VLOOKUP(B259,I!$A:$D,4,FALSE))</f>
        <v>14.93</v>
      </c>
      <c r="J259" s="80">
        <f>TRUNC(H259*I259,2)</f>
        <v>4.47</v>
      </c>
      <c r="K259" s="81"/>
    </row>
    <row r="260" spans="1:13" ht="15" customHeight="1" x14ac:dyDescent="0.25">
      <c r="A260" s="16" t="s">
        <v>306</v>
      </c>
      <c r="B260" s="20">
        <v>6111</v>
      </c>
      <c r="C260" s="77" t="str">
        <f>VLOOKUP(B260,IF(A260="COMPOSICAO",S!$A:$D,I!$A:$D),2,FALSE)</f>
        <v>SERVENTE DE OBRAS</v>
      </c>
      <c r="D260" s="77"/>
      <c r="E260" s="77"/>
      <c r="F260" s="77"/>
      <c r="G260" s="16" t="str">
        <f>VLOOKUP(B260,IF(A260="COMPOSICAO",S!$A:$D,I!$A:$D),3,FALSE)</f>
        <v>H</v>
      </c>
      <c r="H260" s="17">
        <v>0.3</v>
      </c>
      <c r="I260" s="17">
        <f>IF(A260="COMPOSICAO",VLOOKUP("TOTAL - "&amp;B260,COMPOSICAO_AUX_2!$A:$J,10,FALSE),VLOOKUP(B260,I!$A:$D,4,FALSE))</f>
        <v>10.6</v>
      </c>
      <c r="J260" s="80">
        <f>TRUNC(H260*I260,2)</f>
        <v>3.18</v>
      </c>
      <c r="K260" s="81"/>
    </row>
    <row r="261" spans="1:13" ht="15" customHeight="1" x14ac:dyDescent="0.25">
      <c r="A261" s="16" t="s">
        <v>302</v>
      </c>
      <c r="B261" s="16" t="s">
        <v>319</v>
      </c>
      <c r="C261" s="77" t="str">
        <f>VLOOKUP(B261,IF(A261="COMPOSICAO",S!$A:$D,I!$A:$D),2,FALSE)</f>
        <v>ENCARGOS COMPLEMENTARES - SERVENTE</v>
      </c>
      <c r="D261" s="77"/>
      <c r="E261" s="77"/>
      <c r="F261" s="77"/>
      <c r="G261" s="16" t="str">
        <f>VLOOKUP(B261,IF(A261="COMPOSICAO",S!$A:$D,I!$A:$D),3,FALSE)</f>
        <v>H</v>
      </c>
      <c r="H261" s="17">
        <v>0.3</v>
      </c>
      <c r="I261" s="17">
        <f>IF(A261="COMPOSICAO",VLOOKUP("TOTAL - "&amp;B261,COMPOSICAO_AUX_2!$A:$J,10,FALSE),VLOOKUP(B261,I!$A:$D,4,FALSE))</f>
        <v>2.9100000000000006</v>
      </c>
      <c r="J261" s="80">
        <f>TRUNC(H261*I261,2)</f>
        <v>0.87</v>
      </c>
      <c r="K261" s="81"/>
    </row>
    <row r="262" spans="1:13" ht="15" customHeight="1" x14ac:dyDescent="0.25">
      <c r="A262" s="16" t="s">
        <v>302</v>
      </c>
      <c r="B262" s="16" t="s">
        <v>467</v>
      </c>
      <c r="C262" s="77" t="str">
        <f>VLOOKUP(B262,IF(A262="COMPOSICAO",S!$A:$D,I!$A:$D),2,FALSE)</f>
        <v>ENCARGOS COMPLEMENTARES - ELETRICISTA</v>
      </c>
      <c r="D262" s="77"/>
      <c r="E262" s="77"/>
      <c r="F262" s="77"/>
      <c r="G262" s="16" t="str">
        <f>VLOOKUP(B262,IF(A262="COMPOSICAO",S!$A:$D,I!$A:$D),3,FALSE)</f>
        <v>H</v>
      </c>
      <c r="H262" s="17">
        <v>0.3</v>
      </c>
      <c r="I262" s="17">
        <f>IF(A262="COMPOSICAO",VLOOKUP("TOTAL - "&amp;B262,COMPOSICAO_AUX_2!$A:$J,10,FALSE),VLOOKUP(B262,I!$A:$D,4,FALSE))</f>
        <v>2.7900000000000005</v>
      </c>
      <c r="J262" s="80">
        <f>TRUNC(H262*I262,2)</f>
        <v>0.83</v>
      </c>
      <c r="K262" s="81"/>
    </row>
    <row r="263" spans="1:13" ht="15" customHeight="1" x14ac:dyDescent="0.25">
      <c r="A263" s="23" t="s">
        <v>566</v>
      </c>
      <c r="B263" s="24"/>
      <c r="C263" s="24"/>
      <c r="D263" s="24"/>
      <c r="E263" s="24"/>
      <c r="F263" s="24"/>
      <c r="G263" s="25"/>
      <c r="H263" s="26"/>
      <c r="I263" s="27"/>
      <c r="J263" s="80">
        <f>SUM(J257:K262)</f>
        <v>17.049999999999997</v>
      </c>
      <c r="K263" s="81"/>
    </row>
    <row r="264" spans="1:13" ht="15" customHeight="1" x14ac:dyDescent="0.25">
      <c r="A264" s="3"/>
      <c r="B264" s="3"/>
      <c r="C264" s="3"/>
      <c r="D264" s="3"/>
      <c r="E264" s="3"/>
      <c r="F264" s="3"/>
      <c r="G264" s="3"/>
      <c r="H264" s="3"/>
      <c r="I264" s="3"/>
      <c r="J264" s="3"/>
      <c r="K264" s="3"/>
    </row>
    <row r="265" spans="1:13" ht="15" customHeight="1" x14ac:dyDescent="0.25">
      <c r="A265" s="10" t="s">
        <v>295</v>
      </c>
      <c r="B265" s="10" t="s">
        <v>31</v>
      </c>
      <c r="C265" s="82" t="s">
        <v>7</v>
      </c>
      <c r="D265" s="83"/>
      <c r="E265" s="83"/>
      <c r="F265" s="83"/>
      <c r="G265" s="6" t="s">
        <v>32</v>
      </c>
      <c r="H265" s="6" t="s">
        <v>296</v>
      </c>
      <c r="I265" s="6" t="s">
        <v>297</v>
      </c>
      <c r="J265" s="57" t="s">
        <v>9</v>
      </c>
      <c r="K265" s="58"/>
    </row>
    <row r="266" spans="1:13" ht="30" customHeight="1" x14ac:dyDescent="0.25">
      <c r="A266" s="6" t="s">
        <v>11</v>
      </c>
      <c r="B266" s="6" t="s">
        <v>335</v>
      </c>
      <c r="C266" s="91" t="str">
        <f>VLOOKUP(B266,S!$A:$D,2,FALSE)</f>
        <v>CABO DE COBRE NÚ 10 MM2 - FORNECIMENTO E ASSENTAMENTO (10,85M/KG)</v>
      </c>
      <c r="D266" s="91"/>
      <c r="E266" s="91"/>
      <c r="F266" s="92"/>
      <c r="G266" s="6" t="str">
        <f>VLOOKUP(B266,S!$A:$D,3,FALSE)</f>
        <v>KG</v>
      </c>
      <c r="H266" s="21"/>
      <c r="I266" s="21">
        <f>J272</f>
        <v>109.17999999999999</v>
      </c>
      <c r="J266" s="76"/>
      <c r="K266" s="72"/>
      <c r="L266" s="21">
        <f>VLOOKUP(B266,S!$A:$D,4,FALSE)</f>
        <v>109.14</v>
      </c>
      <c r="M266" s="6" t="str">
        <f>IF(ROUND((L266-I266),2)=0,"OK, confere com a tabela.",IF(ROUND((L266-I266),2)&lt;0,"ACIMA ("&amp;TEXT(ROUND(I266*100/L266,4),"0,0000")&amp;" %) da tabela.","ABAIXO ("&amp;TEXT(ROUND(I266*100/L266,4),"0,0000")&amp;" %) da tabela."))</f>
        <v>ACIMA (100,0367 %) da tabela.</v>
      </c>
    </row>
    <row r="267" spans="1:13" ht="15" customHeight="1" x14ac:dyDescent="0.25">
      <c r="A267" s="16" t="s">
        <v>306</v>
      </c>
      <c r="B267" s="16" t="s">
        <v>567</v>
      </c>
      <c r="C267" s="77" t="str">
        <f>VLOOKUP(B267,IF(A267="COMPOSICAO",S!$A:$D,I!$A:$D),2,FALSE)</f>
        <v>CABO DE COBRE NÚ 10 MM2 - CLASSE 2A</v>
      </c>
      <c r="D267" s="77"/>
      <c r="E267" s="77"/>
      <c r="F267" s="77"/>
      <c r="G267" s="16" t="str">
        <f>VLOOKUP(B267,IF(A267="COMPOSICAO",S!$A:$D,I!$A:$D),3,FALSE)</f>
        <v>KG</v>
      </c>
      <c r="H267" s="17">
        <v>1</v>
      </c>
      <c r="I267" s="17">
        <f>IF(A267="COMPOSICAO",VLOOKUP("TOTAL - "&amp;B267,COMPOSICAO_AUX_2!$A:$J,10,FALSE),VLOOKUP(B267,I!$A:$D,4,FALSE))</f>
        <v>107.33</v>
      </c>
      <c r="J267" s="80">
        <f>TRUNC(H267*I267,2)</f>
        <v>107.33</v>
      </c>
      <c r="K267" s="81"/>
    </row>
    <row r="268" spans="1:13" ht="15" customHeight="1" x14ac:dyDescent="0.25">
      <c r="A268" s="16" t="s">
        <v>306</v>
      </c>
      <c r="B268" s="20">
        <v>2436</v>
      </c>
      <c r="C268" s="77" t="str">
        <f>VLOOKUP(B268,IF(A268="COMPOSICAO",S!$A:$D,I!$A:$D),2,FALSE)</f>
        <v>ELETRICISTA</v>
      </c>
      <c r="D268" s="77"/>
      <c r="E268" s="77"/>
      <c r="F268" s="77"/>
      <c r="G268" s="16" t="str">
        <f>VLOOKUP(B268,IF(A268="COMPOSICAO",S!$A:$D,I!$A:$D),3,FALSE)</f>
        <v>H</v>
      </c>
      <c r="H268" s="17">
        <v>0.06</v>
      </c>
      <c r="I268" s="17">
        <f>IF(A268="COMPOSICAO",VLOOKUP("TOTAL - "&amp;B268,COMPOSICAO_AUX_2!$A:$J,10,FALSE),VLOOKUP(B268,I!$A:$D,4,FALSE))</f>
        <v>14.93</v>
      </c>
      <c r="J268" s="80">
        <f>TRUNC(H268*I268,2)</f>
        <v>0.89</v>
      </c>
      <c r="K268" s="81"/>
    </row>
    <row r="269" spans="1:13" ht="15" customHeight="1" x14ac:dyDescent="0.25">
      <c r="A269" s="16" t="s">
        <v>306</v>
      </c>
      <c r="B269" s="20">
        <v>6111</v>
      </c>
      <c r="C269" s="77" t="str">
        <f>VLOOKUP(B269,IF(A269="COMPOSICAO",S!$A:$D,I!$A:$D),2,FALSE)</f>
        <v>SERVENTE DE OBRAS</v>
      </c>
      <c r="D269" s="77"/>
      <c r="E269" s="77"/>
      <c r="F269" s="77"/>
      <c r="G269" s="16" t="str">
        <f>VLOOKUP(B269,IF(A269="COMPOSICAO",S!$A:$D,I!$A:$D),3,FALSE)</f>
        <v>H</v>
      </c>
      <c r="H269" s="17">
        <v>0.06</v>
      </c>
      <c r="I269" s="17">
        <f>IF(A269="COMPOSICAO",VLOOKUP("TOTAL - "&amp;B269,COMPOSICAO_AUX_2!$A:$J,10,FALSE),VLOOKUP(B269,I!$A:$D,4,FALSE))</f>
        <v>10.6</v>
      </c>
      <c r="J269" s="80">
        <f>TRUNC(H269*I269,2)</f>
        <v>0.63</v>
      </c>
      <c r="K269" s="81"/>
    </row>
    <row r="270" spans="1:13" ht="15" customHeight="1" x14ac:dyDescent="0.25">
      <c r="A270" s="16" t="s">
        <v>302</v>
      </c>
      <c r="B270" s="16" t="s">
        <v>319</v>
      </c>
      <c r="C270" s="77" t="str">
        <f>VLOOKUP(B270,IF(A270="COMPOSICAO",S!$A:$D,I!$A:$D),2,FALSE)</f>
        <v>ENCARGOS COMPLEMENTARES - SERVENTE</v>
      </c>
      <c r="D270" s="77"/>
      <c r="E270" s="77"/>
      <c r="F270" s="77"/>
      <c r="G270" s="16" t="str">
        <f>VLOOKUP(B270,IF(A270="COMPOSICAO",S!$A:$D,I!$A:$D),3,FALSE)</f>
        <v>H</v>
      </c>
      <c r="H270" s="17">
        <v>0.06</v>
      </c>
      <c r="I270" s="17">
        <f>IF(A270="COMPOSICAO",VLOOKUP("TOTAL - "&amp;B270,COMPOSICAO_AUX_2!$A:$J,10,FALSE),VLOOKUP(B270,I!$A:$D,4,FALSE))</f>
        <v>2.9100000000000006</v>
      </c>
      <c r="J270" s="80">
        <f>TRUNC(H270*I270,2)</f>
        <v>0.17</v>
      </c>
      <c r="K270" s="81"/>
    </row>
    <row r="271" spans="1:13" ht="15" customHeight="1" x14ac:dyDescent="0.25">
      <c r="A271" s="16" t="s">
        <v>302</v>
      </c>
      <c r="B271" s="16" t="s">
        <v>467</v>
      </c>
      <c r="C271" s="77" t="str">
        <f>VLOOKUP(B271,IF(A271="COMPOSICAO",S!$A:$D,I!$A:$D),2,FALSE)</f>
        <v>ENCARGOS COMPLEMENTARES - ELETRICISTA</v>
      </c>
      <c r="D271" s="77"/>
      <c r="E271" s="77"/>
      <c r="F271" s="77"/>
      <c r="G271" s="16" t="str">
        <f>VLOOKUP(B271,IF(A271="COMPOSICAO",S!$A:$D,I!$A:$D),3,FALSE)</f>
        <v>H</v>
      </c>
      <c r="H271" s="17">
        <v>0.06</v>
      </c>
      <c r="I271" s="17">
        <f>IF(A271="COMPOSICAO",VLOOKUP("TOTAL - "&amp;B271,COMPOSICAO_AUX_2!$A:$J,10,FALSE),VLOOKUP(B271,I!$A:$D,4,FALSE))</f>
        <v>2.7900000000000005</v>
      </c>
      <c r="J271" s="80">
        <f>TRUNC(H271*I271,2)</f>
        <v>0.16</v>
      </c>
      <c r="K271" s="81"/>
    </row>
    <row r="272" spans="1:13" ht="15" customHeight="1" x14ac:dyDescent="0.25">
      <c r="A272" s="23" t="s">
        <v>568</v>
      </c>
      <c r="B272" s="24"/>
      <c r="C272" s="24"/>
      <c r="D272" s="24"/>
      <c r="E272" s="24"/>
      <c r="F272" s="24"/>
      <c r="G272" s="25"/>
      <c r="H272" s="26"/>
      <c r="I272" s="27"/>
      <c r="J272" s="80">
        <f>SUM(J266:K271)</f>
        <v>109.17999999999999</v>
      </c>
      <c r="K272" s="81"/>
    </row>
    <row r="273" spans="1:13" ht="15" customHeight="1" x14ac:dyDescent="0.25">
      <c r="A273" s="3"/>
      <c r="B273" s="3"/>
      <c r="C273" s="3"/>
      <c r="D273" s="3"/>
      <c r="E273" s="3"/>
      <c r="F273" s="3"/>
      <c r="G273" s="3"/>
      <c r="H273" s="3"/>
      <c r="I273" s="3"/>
      <c r="J273" s="3"/>
      <c r="K273" s="3"/>
    </row>
    <row r="274" spans="1:13" ht="15" customHeight="1" x14ac:dyDescent="0.25">
      <c r="A274" s="10" t="s">
        <v>295</v>
      </c>
      <c r="B274" s="10" t="s">
        <v>31</v>
      </c>
      <c r="C274" s="82" t="s">
        <v>7</v>
      </c>
      <c r="D274" s="83"/>
      <c r="E274" s="83"/>
      <c r="F274" s="83"/>
      <c r="G274" s="6" t="s">
        <v>32</v>
      </c>
      <c r="H274" s="6" t="s">
        <v>296</v>
      </c>
      <c r="I274" s="6" t="s">
        <v>297</v>
      </c>
      <c r="J274" s="57" t="s">
        <v>9</v>
      </c>
      <c r="K274" s="58"/>
    </row>
    <row r="275" spans="1:13" ht="15" customHeight="1" x14ac:dyDescent="0.25">
      <c r="A275" s="6" t="s">
        <v>502</v>
      </c>
      <c r="B275" s="28">
        <v>88441</v>
      </c>
      <c r="C275" s="91" t="str">
        <f>VLOOKUP(B275,S!$A:$D,2,FALSE)</f>
        <v>JARDINEIRO COM ENCARGOS COMPLEMENTARES</v>
      </c>
      <c r="D275" s="91"/>
      <c r="E275" s="91"/>
      <c r="F275" s="92"/>
      <c r="G275" s="6" t="str">
        <f>VLOOKUP(B275,S!$A:$D,3,FALSE)</f>
        <v>H</v>
      </c>
      <c r="H275" s="21"/>
      <c r="I275" s="21">
        <f>J284</f>
        <v>19.189999999999998</v>
      </c>
      <c r="J275" s="76"/>
      <c r="K275" s="72"/>
      <c r="L275" s="21">
        <f>VLOOKUP(B275,S!$A:$D,4,FALSE)</f>
        <v>19.190000000000001</v>
      </c>
      <c r="M275" s="6" t="str">
        <f>IF(ROUND((L275-I275),2)=0,"OK, confere com a tabela.",IF(ROUND((L275-I275),2)&lt;0,"ACIMA ("&amp;TEXT(ROUND(I275*100/L275,4),"0,0000")&amp;" %) da tabela.","ABAIXO ("&amp;TEXT(ROUND(I275*100/L275,4),"0,0000")&amp;" %) da tabela."))</f>
        <v>OK, confere com a tabela.</v>
      </c>
    </row>
    <row r="276" spans="1:13" ht="15" customHeight="1" x14ac:dyDescent="0.25">
      <c r="A276" s="16" t="s">
        <v>306</v>
      </c>
      <c r="B276" s="20">
        <v>25964</v>
      </c>
      <c r="C276" s="77" t="str">
        <f>VLOOKUP(B276,IF(A276="COMPOSICAO",S!$A:$D,I!$A:$D),2,FALSE)</f>
        <v>JARDINEIRO</v>
      </c>
      <c r="D276" s="77"/>
      <c r="E276" s="77"/>
      <c r="F276" s="77"/>
      <c r="G276" s="16" t="str">
        <f>VLOOKUP(B276,IF(A276="COMPOSICAO",S!$A:$D,I!$A:$D),3,FALSE)</f>
        <v>H</v>
      </c>
      <c r="H276" s="17">
        <v>1</v>
      </c>
      <c r="I276" s="17">
        <f>IF(A276="COMPOSICAO",VLOOKUP("TOTAL - "&amp;B276,COMPOSICAO_AUX_2!$A:$J,10,FALSE),VLOOKUP(B276,I!$A:$D,4,FALSE))</f>
        <v>14.44</v>
      </c>
      <c r="J276" s="80">
        <f t="shared" ref="J276:J283" si="12">TRUNC(H276*I276,2)</f>
        <v>14.44</v>
      </c>
      <c r="K276" s="81"/>
    </row>
    <row r="277" spans="1:13" ht="15" customHeight="1" x14ac:dyDescent="0.25">
      <c r="A277" s="16" t="s">
        <v>306</v>
      </c>
      <c r="B277" s="20">
        <v>37370</v>
      </c>
      <c r="C277" s="77" t="str">
        <f>VLOOKUP(B277,IF(A277="COMPOSICAO",S!$A:$D,I!$A:$D),2,FALSE)</f>
        <v>ALIMENTACAO - HORISTA (COLETADO CAIXA)</v>
      </c>
      <c r="D277" s="77"/>
      <c r="E277" s="77"/>
      <c r="F277" s="77"/>
      <c r="G277" s="16" t="str">
        <f>VLOOKUP(B277,IF(A277="COMPOSICAO",S!$A:$D,I!$A:$D),3,FALSE)</f>
        <v>H</v>
      </c>
      <c r="H277" s="17">
        <v>1</v>
      </c>
      <c r="I277" s="17">
        <f>IF(A277="COMPOSICAO",VLOOKUP("TOTAL - "&amp;B277,COMPOSICAO_AUX_2!$A:$J,10,FALSE),VLOOKUP(B277,I!$A:$D,4,FALSE))</f>
        <v>1.86</v>
      </c>
      <c r="J277" s="80">
        <f t="shared" si="12"/>
        <v>1.86</v>
      </c>
      <c r="K277" s="81"/>
    </row>
    <row r="278" spans="1:13" ht="15" customHeight="1" x14ac:dyDescent="0.25">
      <c r="A278" s="16" t="s">
        <v>306</v>
      </c>
      <c r="B278" s="20">
        <v>37371</v>
      </c>
      <c r="C278" s="77" t="str">
        <f>VLOOKUP(B278,IF(A278="COMPOSICAO",S!$A:$D,I!$A:$D),2,FALSE)</f>
        <v>TRANSPORTE - HORISTA (COLETADO CAIXA)</v>
      </c>
      <c r="D278" s="77"/>
      <c r="E278" s="77"/>
      <c r="F278" s="77"/>
      <c r="G278" s="16" t="str">
        <f>VLOOKUP(B278,IF(A278="COMPOSICAO",S!$A:$D,I!$A:$D),3,FALSE)</f>
        <v>H</v>
      </c>
      <c r="H278" s="17">
        <v>1</v>
      </c>
      <c r="I278" s="17">
        <f>IF(A278="COMPOSICAO",VLOOKUP("TOTAL - "&amp;B278,COMPOSICAO_AUX_2!$A:$J,10,FALSE),VLOOKUP(B278,I!$A:$D,4,FALSE))</f>
        <v>0.7</v>
      </c>
      <c r="J278" s="80">
        <f t="shared" si="12"/>
        <v>0.7</v>
      </c>
      <c r="K278" s="81"/>
    </row>
    <row r="279" spans="1:13" ht="15" customHeight="1" x14ac:dyDescent="0.25">
      <c r="A279" s="16" t="s">
        <v>306</v>
      </c>
      <c r="B279" s="20">
        <v>37372</v>
      </c>
      <c r="C279" s="77" t="str">
        <f>VLOOKUP(B279,IF(A279="COMPOSICAO",S!$A:$D,I!$A:$D),2,FALSE)</f>
        <v>EXAMES - HORISTA (COLETADO CAIXA)</v>
      </c>
      <c r="D279" s="77"/>
      <c r="E279" s="77"/>
      <c r="F279" s="77"/>
      <c r="G279" s="16" t="str">
        <f>VLOOKUP(B279,IF(A279="COMPOSICAO",S!$A:$D,I!$A:$D),3,FALSE)</f>
        <v>H</v>
      </c>
      <c r="H279" s="17">
        <v>1</v>
      </c>
      <c r="I279" s="17">
        <f>IF(A279="COMPOSICAO",VLOOKUP("TOTAL - "&amp;B279,COMPOSICAO_AUX_2!$A:$J,10,FALSE),VLOOKUP(B279,I!$A:$D,4,FALSE))</f>
        <v>0.55000000000000004</v>
      </c>
      <c r="J279" s="80">
        <f t="shared" si="12"/>
        <v>0.55000000000000004</v>
      </c>
      <c r="K279" s="81"/>
    </row>
    <row r="280" spans="1:13" ht="15" customHeight="1" x14ac:dyDescent="0.25">
      <c r="A280" s="16" t="s">
        <v>306</v>
      </c>
      <c r="B280" s="20">
        <v>37373</v>
      </c>
      <c r="C280" s="77" t="str">
        <f>VLOOKUP(B280,IF(A280="COMPOSICAO",S!$A:$D,I!$A:$D),2,FALSE)</f>
        <v>SEGURO - HORISTA (COLETADO CAIXA)</v>
      </c>
      <c r="D280" s="77"/>
      <c r="E280" s="77"/>
      <c r="F280" s="77"/>
      <c r="G280" s="16" t="str">
        <f>VLOOKUP(B280,IF(A280="COMPOSICAO",S!$A:$D,I!$A:$D),3,FALSE)</f>
        <v>H</v>
      </c>
      <c r="H280" s="17">
        <v>1</v>
      </c>
      <c r="I280" s="17">
        <f>IF(A280="COMPOSICAO",VLOOKUP("TOTAL - "&amp;B280,COMPOSICAO_AUX_2!$A:$J,10,FALSE),VLOOKUP(B280,I!$A:$D,4,FALSE))</f>
        <v>0.06</v>
      </c>
      <c r="J280" s="80">
        <f t="shared" si="12"/>
        <v>0.06</v>
      </c>
      <c r="K280" s="81"/>
    </row>
    <row r="281" spans="1:13" ht="30" customHeight="1" x14ac:dyDescent="0.25">
      <c r="A281" s="16" t="s">
        <v>306</v>
      </c>
      <c r="B281" s="20">
        <v>43465</v>
      </c>
      <c r="C281" s="77" t="str">
        <f>VLOOKUP(B281,IF(A281="COMPOSICAO",S!$A:$D,I!$A:$D),2,FALSE)</f>
        <v>FERRAMENTAS - FAMILIA PEDREIRO - HORISTA (ENCARGOS COMPLEMENTARES - COLETADO CAIXA)</v>
      </c>
      <c r="D281" s="77"/>
      <c r="E281" s="77"/>
      <c r="F281" s="77"/>
      <c r="G281" s="16" t="str">
        <f>VLOOKUP(B281,IF(A281="COMPOSICAO",S!$A:$D,I!$A:$D),3,FALSE)</f>
        <v>H</v>
      </c>
      <c r="H281" s="17">
        <v>1</v>
      </c>
      <c r="I281" s="17">
        <f>IF(A281="COMPOSICAO",VLOOKUP("TOTAL - "&amp;B281,COMPOSICAO_AUX_2!$A:$J,10,FALSE),VLOOKUP(B281,I!$A:$D,4,FALSE))</f>
        <v>0.57999999999999996</v>
      </c>
      <c r="J281" s="80">
        <f t="shared" si="12"/>
        <v>0.57999999999999996</v>
      </c>
      <c r="K281" s="81"/>
    </row>
    <row r="282" spans="1:13" ht="30" customHeight="1" x14ac:dyDescent="0.25">
      <c r="A282" s="16" t="s">
        <v>306</v>
      </c>
      <c r="B282" s="20">
        <v>43489</v>
      </c>
      <c r="C282" s="77" t="str">
        <f>VLOOKUP(B282,IF(A282="COMPOSICAO",S!$A:$D,I!$A:$D),2,FALSE)</f>
        <v>EPI - FAMILIA PEDREIRO - HORISTA (ENCARGOS COMPLEMENTARES - COLETADO CAIXA)</v>
      </c>
      <c r="D282" s="77"/>
      <c r="E282" s="77"/>
      <c r="F282" s="77"/>
      <c r="G282" s="16" t="str">
        <f>VLOOKUP(B282,IF(A282="COMPOSICAO",S!$A:$D,I!$A:$D),3,FALSE)</f>
        <v>H</v>
      </c>
      <c r="H282" s="17">
        <v>1</v>
      </c>
      <c r="I282" s="17">
        <f>IF(A282="COMPOSICAO",VLOOKUP("TOTAL - "&amp;B282,COMPOSICAO_AUX_2!$A:$J,10,FALSE),VLOOKUP(B282,I!$A:$D,4,FALSE))</f>
        <v>0.95</v>
      </c>
      <c r="J282" s="80">
        <f t="shared" si="12"/>
        <v>0.95</v>
      </c>
      <c r="K282" s="81"/>
    </row>
    <row r="283" spans="1:13" ht="30" customHeight="1" x14ac:dyDescent="0.25">
      <c r="A283" s="16" t="s">
        <v>302</v>
      </c>
      <c r="B283" s="20">
        <v>95390</v>
      </c>
      <c r="C283" s="77" t="str">
        <f>VLOOKUP(B283,IF(A283="COMPOSICAO",S!$A:$D,I!$A:$D),2,FALSE)</f>
        <v>CURSO DE CAPACITAÇÃO PARA JARDINEIRO (ENCARGOS COMPLEMENTARES) - HORISTA</v>
      </c>
      <c r="D283" s="77"/>
      <c r="E283" s="77"/>
      <c r="F283" s="77"/>
      <c r="G283" s="16" t="str">
        <f>VLOOKUP(B283,IF(A283="COMPOSICAO",S!$A:$D,I!$A:$D),3,FALSE)</f>
        <v>H</v>
      </c>
      <c r="H283" s="17">
        <v>1</v>
      </c>
      <c r="I283" s="17">
        <f>IF(A283="COMPOSICAO",VLOOKUP("TOTAL - "&amp;B283,COMPOSICAO_AUX_2!$A:$J,10,FALSE),VLOOKUP(B283,I!$A:$D,4,FALSE))</f>
        <v>0.05</v>
      </c>
      <c r="J283" s="80">
        <f t="shared" si="12"/>
        <v>0.05</v>
      </c>
      <c r="K283" s="81"/>
    </row>
    <row r="284" spans="1:13" ht="15" customHeight="1" x14ac:dyDescent="0.25">
      <c r="A284" s="23" t="s">
        <v>569</v>
      </c>
      <c r="B284" s="24"/>
      <c r="C284" s="24"/>
      <c r="D284" s="24"/>
      <c r="E284" s="24"/>
      <c r="F284" s="24"/>
      <c r="G284" s="25"/>
      <c r="H284" s="26"/>
      <c r="I284" s="27"/>
      <c r="J284" s="80">
        <f>SUM(J275:K283)</f>
        <v>19.189999999999998</v>
      </c>
      <c r="K284" s="81"/>
    </row>
    <row r="285" spans="1:13" ht="15" customHeight="1" x14ac:dyDescent="0.25">
      <c r="A285" s="3"/>
      <c r="B285" s="3"/>
      <c r="C285" s="3"/>
      <c r="D285" s="3"/>
      <c r="E285" s="3"/>
      <c r="F285" s="3"/>
      <c r="G285" s="3"/>
      <c r="H285" s="3"/>
      <c r="I285" s="3"/>
      <c r="J285" s="3"/>
      <c r="K285" s="3"/>
    </row>
    <row r="286" spans="1:13" ht="15" customHeight="1" x14ac:dyDescent="0.25">
      <c r="A286" s="10" t="s">
        <v>295</v>
      </c>
      <c r="B286" s="10" t="s">
        <v>31</v>
      </c>
      <c r="C286" s="82" t="s">
        <v>7</v>
      </c>
      <c r="D286" s="83"/>
      <c r="E286" s="83"/>
      <c r="F286" s="83"/>
      <c r="G286" s="6" t="s">
        <v>32</v>
      </c>
      <c r="H286" s="6" t="s">
        <v>296</v>
      </c>
      <c r="I286" s="6" t="s">
        <v>297</v>
      </c>
      <c r="J286" s="57" t="s">
        <v>9</v>
      </c>
      <c r="K286" s="58"/>
    </row>
    <row r="287" spans="1:13" ht="15" customHeight="1" x14ac:dyDescent="0.25">
      <c r="A287" s="6" t="s">
        <v>502</v>
      </c>
      <c r="B287" s="28">
        <v>88309</v>
      </c>
      <c r="C287" s="91" t="str">
        <f>VLOOKUP(B287,S!$A:$D,2,FALSE)</f>
        <v>PEDREIRO COM ENCARGOS COMPLEMENTARES</v>
      </c>
      <c r="D287" s="91"/>
      <c r="E287" s="91"/>
      <c r="F287" s="92"/>
      <c r="G287" s="6" t="str">
        <f>VLOOKUP(B287,S!$A:$D,3,FALSE)</f>
        <v>H</v>
      </c>
      <c r="H287" s="21"/>
      <c r="I287" s="21">
        <f>J296</f>
        <v>19.849999999999994</v>
      </c>
      <c r="J287" s="76"/>
      <c r="K287" s="72"/>
      <c r="L287" s="21">
        <f>VLOOKUP(B287,S!$A:$D,4,FALSE)</f>
        <v>19.850000000000001</v>
      </c>
      <c r="M287" s="6" t="str">
        <f>IF(ROUND((L287-I287),2)=0,"OK, confere com a tabela.",IF(ROUND((L287-I287),2)&lt;0,"ACIMA ("&amp;TEXT(ROUND(I287*100/L287,4),"0,0000")&amp;" %) da tabela.","ABAIXO ("&amp;TEXT(ROUND(I287*100/L287,4),"0,0000")&amp;" %) da tabela."))</f>
        <v>OK, confere com a tabela.</v>
      </c>
    </row>
    <row r="288" spans="1:13" ht="15" customHeight="1" x14ac:dyDescent="0.25">
      <c r="A288" s="16" t="s">
        <v>306</v>
      </c>
      <c r="B288" s="20">
        <v>4750</v>
      </c>
      <c r="C288" s="77" t="str">
        <f>VLOOKUP(B288,IF(A288="COMPOSICAO",S!$A:$D,I!$A:$D),2,FALSE)</f>
        <v>PEDREIRO</v>
      </c>
      <c r="D288" s="77"/>
      <c r="E288" s="77"/>
      <c r="F288" s="77"/>
      <c r="G288" s="16" t="str">
        <f>VLOOKUP(B288,IF(A288="COMPOSICAO",S!$A:$D,I!$A:$D),3,FALSE)</f>
        <v>H</v>
      </c>
      <c r="H288" s="17">
        <v>1</v>
      </c>
      <c r="I288" s="17">
        <f>IF(A288="COMPOSICAO",VLOOKUP("TOTAL - "&amp;B288,COMPOSICAO_AUX_2!$A:$J,10,FALSE),VLOOKUP(B288,I!$A:$D,4,FALSE))</f>
        <v>14.93</v>
      </c>
      <c r="J288" s="80">
        <f t="shared" ref="J288:J295" si="13">TRUNC(H288*I288,2)</f>
        <v>14.93</v>
      </c>
      <c r="K288" s="81"/>
    </row>
    <row r="289" spans="1:13" ht="15" customHeight="1" x14ac:dyDescent="0.25">
      <c r="A289" s="16" t="s">
        <v>306</v>
      </c>
      <c r="B289" s="20">
        <v>37370</v>
      </c>
      <c r="C289" s="77" t="str">
        <f>VLOOKUP(B289,IF(A289="COMPOSICAO",S!$A:$D,I!$A:$D),2,FALSE)</f>
        <v>ALIMENTACAO - HORISTA (COLETADO CAIXA)</v>
      </c>
      <c r="D289" s="77"/>
      <c r="E289" s="77"/>
      <c r="F289" s="77"/>
      <c r="G289" s="16" t="str">
        <f>VLOOKUP(B289,IF(A289="COMPOSICAO",S!$A:$D,I!$A:$D),3,FALSE)</f>
        <v>H</v>
      </c>
      <c r="H289" s="17">
        <v>1</v>
      </c>
      <c r="I289" s="17">
        <f>IF(A289="COMPOSICAO",VLOOKUP("TOTAL - "&amp;B289,COMPOSICAO_AUX_2!$A:$J,10,FALSE),VLOOKUP(B289,I!$A:$D,4,FALSE))</f>
        <v>1.86</v>
      </c>
      <c r="J289" s="80">
        <f t="shared" si="13"/>
        <v>1.86</v>
      </c>
      <c r="K289" s="81"/>
    </row>
    <row r="290" spans="1:13" ht="15" customHeight="1" x14ac:dyDescent="0.25">
      <c r="A290" s="16" t="s">
        <v>306</v>
      </c>
      <c r="B290" s="20">
        <v>37371</v>
      </c>
      <c r="C290" s="77" t="str">
        <f>VLOOKUP(B290,IF(A290="COMPOSICAO",S!$A:$D,I!$A:$D),2,FALSE)</f>
        <v>TRANSPORTE - HORISTA (COLETADO CAIXA)</v>
      </c>
      <c r="D290" s="77"/>
      <c r="E290" s="77"/>
      <c r="F290" s="77"/>
      <c r="G290" s="16" t="str">
        <f>VLOOKUP(B290,IF(A290="COMPOSICAO",S!$A:$D,I!$A:$D),3,FALSE)</f>
        <v>H</v>
      </c>
      <c r="H290" s="17">
        <v>1</v>
      </c>
      <c r="I290" s="17">
        <f>IF(A290="COMPOSICAO",VLOOKUP("TOTAL - "&amp;B290,COMPOSICAO_AUX_2!$A:$J,10,FALSE),VLOOKUP(B290,I!$A:$D,4,FALSE))</f>
        <v>0.7</v>
      </c>
      <c r="J290" s="80">
        <f t="shared" si="13"/>
        <v>0.7</v>
      </c>
      <c r="K290" s="81"/>
    </row>
    <row r="291" spans="1:13" ht="15" customHeight="1" x14ac:dyDescent="0.25">
      <c r="A291" s="16" t="s">
        <v>306</v>
      </c>
      <c r="B291" s="20">
        <v>37372</v>
      </c>
      <c r="C291" s="77" t="str">
        <f>VLOOKUP(B291,IF(A291="COMPOSICAO",S!$A:$D,I!$A:$D),2,FALSE)</f>
        <v>EXAMES - HORISTA (COLETADO CAIXA)</v>
      </c>
      <c r="D291" s="77"/>
      <c r="E291" s="77"/>
      <c r="F291" s="77"/>
      <c r="G291" s="16" t="str">
        <f>VLOOKUP(B291,IF(A291="COMPOSICAO",S!$A:$D,I!$A:$D),3,FALSE)</f>
        <v>H</v>
      </c>
      <c r="H291" s="17">
        <v>1</v>
      </c>
      <c r="I291" s="17">
        <f>IF(A291="COMPOSICAO",VLOOKUP("TOTAL - "&amp;B291,COMPOSICAO_AUX_2!$A:$J,10,FALSE),VLOOKUP(B291,I!$A:$D,4,FALSE))</f>
        <v>0.55000000000000004</v>
      </c>
      <c r="J291" s="80">
        <f t="shared" si="13"/>
        <v>0.55000000000000004</v>
      </c>
      <c r="K291" s="81"/>
    </row>
    <row r="292" spans="1:13" ht="15" customHeight="1" x14ac:dyDescent="0.25">
      <c r="A292" s="16" t="s">
        <v>306</v>
      </c>
      <c r="B292" s="20">
        <v>37373</v>
      </c>
      <c r="C292" s="77" t="str">
        <f>VLOOKUP(B292,IF(A292="COMPOSICAO",S!$A:$D,I!$A:$D),2,FALSE)</f>
        <v>SEGURO - HORISTA (COLETADO CAIXA)</v>
      </c>
      <c r="D292" s="77"/>
      <c r="E292" s="77"/>
      <c r="F292" s="77"/>
      <c r="G292" s="16" t="str">
        <f>VLOOKUP(B292,IF(A292="COMPOSICAO",S!$A:$D,I!$A:$D),3,FALSE)</f>
        <v>H</v>
      </c>
      <c r="H292" s="17">
        <v>1</v>
      </c>
      <c r="I292" s="17">
        <f>IF(A292="COMPOSICAO",VLOOKUP("TOTAL - "&amp;B292,COMPOSICAO_AUX_2!$A:$J,10,FALSE),VLOOKUP(B292,I!$A:$D,4,FALSE))</f>
        <v>0.06</v>
      </c>
      <c r="J292" s="80">
        <f t="shared" si="13"/>
        <v>0.06</v>
      </c>
      <c r="K292" s="81"/>
    </row>
    <row r="293" spans="1:13" ht="30" customHeight="1" x14ac:dyDescent="0.25">
      <c r="A293" s="16" t="s">
        <v>306</v>
      </c>
      <c r="B293" s="20">
        <v>43465</v>
      </c>
      <c r="C293" s="77" t="str">
        <f>VLOOKUP(B293,IF(A293="COMPOSICAO",S!$A:$D,I!$A:$D),2,FALSE)</f>
        <v>FERRAMENTAS - FAMILIA PEDREIRO - HORISTA (ENCARGOS COMPLEMENTARES - COLETADO CAIXA)</v>
      </c>
      <c r="D293" s="77"/>
      <c r="E293" s="77"/>
      <c r="F293" s="77"/>
      <c r="G293" s="16" t="str">
        <f>VLOOKUP(B293,IF(A293="COMPOSICAO",S!$A:$D,I!$A:$D),3,FALSE)</f>
        <v>H</v>
      </c>
      <c r="H293" s="17">
        <v>1</v>
      </c>
      <c r="I293" s="17">
        <f>IF(A293="COMPOSICAO",VLOOKUP("TOTAL - "&amp;B293,COMPOSICAO_AUX_2!$A:$J,10,FALSE),VLOOKUP(B293,I!$A:$D,4,FALSE))</f>
        <v>0.57999999999999996</v>
      </c>
      <c r="J293" s="80">
        <f t="shared" si="13"/>
        <v>0.57999999999999996</v>
      </c>
      <c r="K293" s="81"/>
    </row>
    <row r="294" spans="1:13" ht="30" customHeight="1" x14ac:dyDescent="0.25">
      <c r="A294" s="16" t="s">
        <v>306</v>
      </c>
      <c r="B294" s="20">
        <v>43489</v>
      </c>
      <c r="C294" s="77" t="str">
        <f>VLOOKUP(B294,IF(A294="COMPOSICAO",S!$A:$D,I!$A:$D),2,FALSE)</f>
        <v>EPI - FAMILIA PEDREIRO - HORISTA (ENCARGOS COMPLEMENTARES - COLETADO CAIXA)</v>
      </c>
      <c r="D294" s="77"/>
      <c r="E294" s="77"/>
      <c r="F294" s="77"/>
      <c r="G294" s="16" t="str">
        <f>VLOOKUP(B294,IF(A294="COMPOSICAO",S!$A:$D,I!$A:$D),3,FALSE)</f>
        <v>H</v>
      </c>
      <c r="H294" s="17">
        <v>1</v>
      </c>
      <c r="I294" s="17">
        <f>IF(A294="COMPOSICAO",VLOOKUP("TOTAL - "&amp;B294,COMPOSICAO_AUX_2!$A:$J,10,FALSE),VLOOKUP(B294,I!$A:$D,4,FALSE))</f>
        <v>0.95</v>
      </c>
      <c r="J294" s="80">
        <f t="shared" si="13"/>
        <v>0.95</v>
      </c>
      <c r="K294" s="81"/>
    </row>
    <row r="295" spans="1:13" ht="30" customHeight="1" x14ac:dyDescent="0.25">
      <c r="A295" s="16" t="s">
        <v>302</v>
      </c>
      <c r="B295" s="20">
        <v>95371</v>
      </c>
      <c r="C295" s="77" t="str">
        <f>VLOOKUP(B295,IF(A295="COMPOSICAO",S!$A:$D,I!$A:$D),2,FALSE)</f>
        <v>CURSO DE CAPACITAÇÃO PARA PEDREIRO (ENCARGOS COMPLEMENTARES) - HORISTA</v>
      </c>
      <c r="D295" s="77"/>
      <c r="E295" s="77"/>
      <c r="F295" s="77"/>
      <c r="G295" s="16" t="str">
        <f>VLOOKUP(B295,IF(A295="COMPOSICAO",S!$A:$D,I!$A:$D),3,FALSE)</f>
        <v>H</v>
      </c>
      <c r="H295" s="17">
        <v>1</v>
      </c>
      <c r="I295" s="17">
        <f>IF(A295="COMPOSICAO",VLOOKUP("TOTAL - "&amp;B295,COMPOSICAO_AUX_2!$A:$J,10,FALSE),VLOOKUP(B295,I!$A:$D,4,FALSE))</f>
        <v>0.22</v>
      </c>
      <c r="J295" s="80">
        <f t="shared" si="13"/>
        <v>0.22</v>
      </c>
      <c r="K295" s="81"/>
    </row>
    <row r="296" spans="1:13" ht="15" customHeight="1" x14ac:dyDescent="0.25">
      <c r="A296" s="23" t="s">
        <v>570</v>
      </c>
      <c r="B296" s="24"/>
      <c r="C296" s="24"/>
      <c r="D296" s="24"/>
      <c r="E296" s="24"/>
      <c r="F296" s="24"/>
      <c r="G296" s="25"/>
      <c r="H296" s="26"/>
      <c r="I296" s="27"/>
      <c r="J296" s="80">
        <f>SUM(J287:K295)</f>
        <v>19.849999999999994</v>
      </c>
      <c r="K296" s="81"/>
    </row>
    <row r="297" spans="1:13" ht="15" customHeight="1" x14ac:dyDescent="0.25">
      <c r="A297" s="3"/>
      <c r="B297" s="3"/>
      <c r="C297" s="3"/>
      <c r="D297" s="3"/>
      <c r="E297" s="3"/>
      <c r="F297" s="3"/>
      <c r="G297" s="3"/>
      <c r="H297" s="3"/>
      <c r="I297" s="3"/>
      <c r="J297" s="3"/>
      <c r="K297" s="3"/>
    </row>
    <row r="298" spans="1:13" ht="15" customHeight="1" x14ac:dyDescent="0.25">
      <c r="A298" s="10" t="s">
        <v>295</v>
      </c>
      <c r="B298" s="10" t="s">
        <v>31</v>
      </c>
      <c r="C298" s="82" t="s">
        <v>7</v>
      </c>
      <c r="D298" s="83"/>
      <c r="E298" s="83"/>
      <c r="F298" s="83"/>
      <c r="G298" s="6" t="s">
        <v>32</v>
      </c>
      <c r="H298" s="6" t="s">
        <v>296</v>
      </c>
      <c r="I298" s="6" t="s">
        <v>297</v>
      </c>
      <c r="J298" s="57" t="s">
        <v>9</v>
      </c>
      <c r="K298" s="58"/>
    </row>
    <row r="299" spans="1:13" ht="75" customHeight="1" x14ac:dyDescent="0.25">
      <c r="A299" s="6" t="s">
        <v>502</v>
      </c>
      <c r="B299" s="28">
        <v>87292</v>
      </c>
      <c r="C299" s="91" t="str">
        <f>VLOOKUP(B299,S!$A:$D,2,FALSE)</f>
        <v>ARGAMASSA TRAÇO 1:2:8 (EM VOLUME DE CIMENTO, CAL E AREIA MÉDIA ÚMIDA) PARA EMBOÇO/MASSA ÚNICA/ASSENTAMENTO DE ALVENARIA DE VEDAÇÃO, PREPARO MECÂNICO COM BETONEIRA 400 L. AF_08/2019</v>
      </c>
      <c r="D299" s="91"/>
      <c r="E299" s="91"/>
      <c r="F299" s="92"/>
      <c r="G299" s="6" t="str">
        <f>VLOOKUP(B299,S!$A:$D,3,FALSE)</f>
        <v>M3</v>
      </c>
      <c r="H299" s="21"/>
      <c r="I299" s="21">
        <f>J306</f>
        <v>469.65000000000003</v>
      </c>
      <c r="J299" s="76"/>
      <c r="K299" s="72"/>
      <c r="L299" s="21">
        <f>VLOOKUP(B299,S!$A:$D,4,FALSE)</f>
        <v>469.65</v>
      </c>
      <c r="M299" s="6" t="str">
        <f>IF(ROUND((L299-I299),2)=0,"OK, confere com a tabela.",IF(ROUND((L299-I299),2)&lt;0,"ACIMA ("&amp;TEXT(ROUND(I299*100/L299,4),"0,0000")&amp;" %) da tabela.","ABAIXO ("&amp;TEXT(ROUND(I299*100/L299,4),"0,0000")&amp;" %) da tabela."))</f>
        <v>OK, confere com a tabela.</v>
      </c>
    </row>
    <row r="300" spans="1:13" ht="30" customHeight="1" x14ac:dyDescent="0.25">
      <c r="A300" s="16" t="s">
        <v>306</v>
      </c>
      <c r="B300" s="20">
        <v>370</v>
      </c>
      <c r="C300" s="77" t="str">
        <f>VLOOKUP(B300,IF(A300="COMPOSICAO",S!$A:$D,I!$A:$D),2,FALSE)</f>
        <v>AREIA MEDIA - POSTO JAZIDA/FORNECEDOR (RETIRADO NA JAZIDA, SEM TRANSPORTE)</v>
      </c>
      <c r="D300" s="77"/>
      <c r="E300" s="77"/>
      <c r="F300" s="77"/>
      <c r="G300" s="16" t="str">
        <f>VLOOKUP(B300,IF(A300="COMPOSICAO",S!$A:$D,I!$A:$D),3,FALSE)</f>
        <v>M3</v>
      </c>
      <c r="H300" s="17">
        <v>1.1599999999999999</v>
      </c>
      <c r="I300" s="17">
        <f>IF(A300="COMPOSICAO",VLOOKUP("TOTAL - "&amp;B300,COMPOSICAO_AUX_2!$A:$J,10,FALSE),VLOOKUP(B300,I!$A:$D,4,FALSE))</f>
        <v>54</v>
      </c>
      <c r="J300" s="80">
        <f t="shared" ref="J300:J305" si="14">TRUNC(H300*I300,2)</f>
        <v>62.64</v>
      </c>
      <c r="K300" s="81"/>
    </row>
    <row r="301" spans="1:13" ht="15" customHeight="1" x14ac:dyDescent="0.25">
      <c r="A301" s="16" t="s">
        <v>306</v>
      </c>
      <c r="B301" s="20">
        <v>1106</v>
      </c>
      <c r="C301" s="77" t="str">
        <f>VLOOKUP(B301,IF(A301="COMPOSICAO",S!$A:$D,I!$A:$D),2,FALSE)</f>
        <v>CAL HIDRATADA CH-I PARA ARGAMASSAS</v>
      </c>
      <c r="D301" s="77"/>
      <c r="E301" s="77"/>
      <c r="F301" s="77"/>
      <c r="G301" s="16" t="str">
        <f>VLOOKUP(B301,IF(A301="COMPOSICAO",S!$A:$D,I!$A:$D),3,FALSE)</f>
        <v>KG</v>
      </c>
      <c r="H301" s="17">
        <v>174.1</v>
      </c>
      <c r="I301" s="17">
        <f>IF(A301="COMPOSICAO",VLOOKUP("TOTAL - "&amp;B301,COMPOSICAO_AUX_2!$A:$J,10,FALSE),VLOOKUP(B301,I!$A:$D,4,FALSE))</f>
        <v>1.02</v>
      </c>
      <c r="J301" s="80">
        <f t="shared" si="14"/>
        <v>177.58</v>
      </c>
      <c r="K301" s="81"/>
    </row>
    <row r="302" spans="1:13" ht="15" customHeight="1" x14ac:dyDescent="0.25">
      <c r="A302" s="16" t="s">
        <v>306</v>
      </c>
      <c r="B302" s="20">
        <v>1379</v>
      </c>
      <c r="C302" s="77" t="str">
        <f>VLOOKUP(B302,IF(A302="COMPOSICAO",S!$A:$D,I!$A:$D),2,FALSE)</f>
        <v>CIMENTO PORTLAND COMPOSTO CP II-32</v>
      </c>
      <c r="D302" s="77"/>
      <c r="E302" s="77"/>
      <c r="F302" s="77"/>
      <c r="G302" s="16" t="str">
        <f>VLOOKUP(B302,IF(A302="COMPOSICAO",S!$A:$D,I!$A:$D),3,FALSE)</f>
        <v>KG</v>
      </c>
      <c r="H302" s="17">
        <v>195.86</v>
      </c>
      <c r="I302" s="17">
        <f>IF(A302="COMPOSICAO",VLOOKUP("TOTAL - "&amp;B302,COMPOSICAO_AUX_2!$A:$J,10,FALSE),VLOOKUP(B302,I!$A:$D,4,FALSE))</f>
        <v>0.7</v>
      </c>
      <c r="J302" s="80">
        <f t="shared" si="14"/>
        <v>137.1</v>
      </c>
      <c r="K302" s="81"/>
    </row>
    <row r="303" spans="1:13" ht="30" customHeight="1" x14ac:dyDescent="0.25">
      <c r="A303" s="16" t="s">
        <v>302</v>
      </c>
      <c r="B303" s="20">
        <v>88377</v>
      </c>
      <c r="C303" s="77" t="str">
        <f>VLOOKUP(B303,IF(A303="COMPOSICAO",S!$A:$D,I!$A:$D),2,FALSE)</f>
        <v>OPERADOR DE BETONEIRA ESTACIONÁRIA/MISTURADOR COM ENCARGOS COMPLEMENTARES</v>
      </c>
      <c r="D303" s="77"/>
      <c r="E303" s="77"/>
      <c r="F303" s="77"/>
      <c r="G303" s="16" t="str">
        <f>VLOOKUP(B303,IF(A303="COMPOSICAO",S!$A:$D,I!$A:$D),3,FALSE)</f>
        <v>H</v>
      </c>
      <c r="H303" s="17">
        <v>4.5</v>
      </c>
      <c r="I303" s="17">
        <f>IF(A303="COMPOSICAO",VLOOKUP("TOTAL - "&amp;B303,COMPOSICAO_AUX_2!$A:$J,10,FALSE),VLOOKUP(B303,I!$A:$D,4,FALSE))</f>
        <v>19.810000000000002</v>
      </c>
      <c r="J303" s="80">
        <f t="shared" si="14"/>
        <v>89.14</v>
      </c>
      <c r="K303" s="81"/>
    </row>
    <row r="304" spans="1:13" ht="60" customHeight="1" x14ac:dyDescent="0.25">
      <c r="A304" s="16" t="s">
        <v>302</v>
      </c>
      <c r="B304" s="20">
        <v>88830</v>
      </c>
      <c r="C304" s="77" t="str">
        <f>VLOOKUP(B304,IF(A304="COMPOSICAO",S!$A:$D,I!$A:$D),2,FALSE)</f>
        <v>BETONEIRA CAPACIDADE NOMINAL DE 400 L, CAPACIDADE DE MISTURA 280 L, MOTOR ELÉTRICO TRIFÁSICO POTÊNCIA DE 2 CV, SEM CARREGADOR - CHP DIURNO. AF_10/2014</v>
      </c>
      <c r="D304" s="77"/>
      <c r="E304" s="77"/>
      <c r="F304" s="77"/>
      <c r="G304" s="16" t="str">
        <f>VLOOKUP(B304,IF(A304="COMPOSICAO",S!$A:$D,I!$A:$D),3,FALSE)</f>
        <v>CHP</v>
      </c>
      <c r="H304" s="17">
        <v>1.05</v>
      </c>
      <c r="I304" s="17">
        <f>IF(A304="COMPOSICAO",VLOOKUP("TOTAL - "&amp;B304,COMPOSICAO_AUX_2!$A:$J,10,FALSE),VLOOKUP(B304,I!$A:$D,4,FALSE))</f>
        <v>1.7</v>
      </c>
      <c r="J304" s="80">
        <f t="shared" si="14"/>
        <v>1.78</v>
      </c>
      <c r="K304" s="81"/>
    </row>
    <row r="305" spans="1:13" ht="60" customHeight="1" x14ac:dyDescent="0.25">
      <c r="A305" s="16" t="s">
        <v>302</v>
      </c>
      <c r="B305" s="20">
        <v>88831</v>
      </c>
      <c r="C305" s="77" t="str">
        <f>VLOOKUP(B305,IF(A305="COMPOSICAO",S!$A:$D,I!$A:$D),2,FALSE)</f>
        <v>BETONEIRA CAPACIDADE NOMINAL DE 400 L, CAPACIDADE DE MISTURA 280 L, MOTOR ELÉTRICO TRIFÁSICO POTÊNCIA DE 2 CV, SEM CARREGADOR - CHI DIURNO. AF_10/2014</v>
      </c>
      <c r="D305" s="77"/>
      <c r="E305" s="77"/>
      <c r="F305" s="77"/>
      <c r="G305" s="16" t="str">
        <f>VLOOKUP(B305,IF(A305="COMPOSICAO",S!$A:$D,I!$A:$D),3,FALSE)</f>
        <v>CHI</v>
      </c>
      <c r="H305" s="17">
        <v>3.45</v>
      </c>
      <c r="I305" s="17">
        <f>IF(A305="COMPOSICAO",VLOOKUP("TOTAL - "&amp;B305,COMPOSICAO_AUX_2!$A:$J,10,FALSE),VLOOKUP(B305,I!$A:$D,4,FALSE))</f>
        <v>0.41</v>
      </c>
      <c r="J305" s="80">
        <f t="shared" si="14"/>
        <v>1.41</v>
      </c>
      <c r="K305" s="81"/>
    </row>
    <row r="306" spans="1:13" ht="15" customHeight="1" x14ac:dyDescent="0.25">
      <c r="A306" s="23" t="s">
        <v>571</v>
      </c>
      <c r="B306" s="24"/>
      <c r="C306" s="24"/>
      <c r="D306" s="24"/>
      <c r="E306" s="24"/>
      <c r="F306" s="24"/>
      <c r="G306" s="25"/>
      <c r="H306" s="26"/>
      <c r="I306" s="27"/>
      <c r="J306" s="80">
        <f>SUM(J299:K305)</f>
        <v>469.65000000000003</v>
      </c>
      <c r="K306" s="81"/>
    </row>
    <row r="307" spans="1:13" ht="15" customHeight="1" x14ac:dyDescent="0.25">
      <c r="A307" s="3"/>
      <c r="B307" s="3"/>
      <c r="C307" s="3"/>
      <c r="D307" s="3"/>
      <c r="E307" s="3"/>
      <c r="F307" s="3"/>
      <c r="G307" s="3"/>
      <c r="H307" s="3"/>
      <c r="I307" s="3"/>
      <c r="J307" s="3"/>
      <c r="K307" s="3"/>
    </row>
    <row r="308" spans="1:13" ht="15" customHeight="1" x14ac:dyDescent="0.25">
      <c r="A308" s="10" t="s">
        <v>295</v>
      </c>
      <c r="B308" s="10" t="s">
        <v>31</v>
      </c>
      <c r="C308" s="82" t="s">
        <v>7</v>
      </c>
      <c r="D308" s="83"/>
      <c r="E308" s="83"/>
      <c r="F308" s="83"/>
      <c r="G308" s="6" t="s">
        <v>32</v>
      </c>
      <c r="H308" s="6" t="s">
        <v>296</v>
      </c>
      <c r="I308" s="6" t="s">
        <v>297</v>
      </c>
      <c r="J308" s="57" t="s">
        <v>9</v>
      </c>
      <c r="K308" s="58"/>
    </row>
    <row r="309" spans="1:13" ht="75" customHeight="1" x14ac:dyDescent="0.25">
      <c r="A309" s="6" t="s">
        <v>572</v>
      </c>
      <c r="B309" s="28">
        <v>5901</v>
      </c>
      <c r="C309" s="91" t="str">
        <f>VLOOKUP(B309,S!$A:$D,2,FALSE)</f>
        <v>CAMINHÃO PIPA 10.000 L TRUCADO, PESO BRUTO TOTAL 23.000 KG, CARGA ÚTIL MÁXIMA 15.935 KG, DISTÂNCIA ENTRE EIXOS 4,8 M, POTÊNCIA 230 CV, INCLUSIVE TANQUE DE AÇO PARA TRANSPORTE DE ÁGUA - CHP DIURNO. AF_06/2014</v>
      </c>
      <c r="D309" s="91"/>
      <c r="E309" s="91"/>
      <c r="F309" s="92"/>
      <c r="G309" s="6" t="str">
        <f>VLOOKUP(B309,S!$A:$D,3,FALSE)</f>
        <v>CHP</v>
      </c>
      <c r="H309" s="21"/>
      <c r="I309" s="21">
        <f>J316</f>
        <v>224.56000000000003</v>
      </c>
      <c r="J309" s="76"/>
      <c r="K309" s="72"/>
      <c r="L309" s="21">
        <f>VLOOKUP(B309,S!$A:$D,4,FALSE)</f>
        <v>224.56</v>
      </c>
      <c r="M309" s="6" t="str">
        <f>IF(ROUND((L309-I309),2)=0,"OK, confere com a tabela.",IF(ROUND((L309-I309),2)&lt;0,"ACIMA ("&amp;TEXT(ROUND(I309*100/L309,4),"0,0000")&amp;" %) da tabela.","ABAIXO ("&amp;TEXT(ROUND(I309*100/L309,4),"0,0000")&amp;" %) da tabela."))</f>
        <v>OK, confere com a tabela.</v>
      </c>
    </row>
    <row r="310" spans="1:13" ht="75" customHeight="1" x14ac:dyDescent="0.25">
      <c r="A310" s="16" t="s">
        <v>302</v>
      </c>
      <c r="B310" s="20">
        <v>5763</v>
      </c>
      <c r="C310" s="77" t="str">
        <f>VLOOKUP(B310,IF(A310="COMPOSICAO",S!$A:$D,I!$A:$D),2,FALSE)</f>
        <v>CAMINHÃO PIPA 10.000 L TRUCADO, PESO BRUTO TOTAL 23.000 KG, CARGA ÚTIL MÁXIMA 15.935 KG, DISTÂNCIA ENTRE EIXOS 4,8 M, POTÊNCIA 230 CV, INCLUSIVE TANQUE DE AÇO PARA TRANSPORTE DE ÁGUA - MANUTENÇÃO. AF_06/2014</v>
      </c>
      <c r="D310" s="77"/>
      <c r="E310" s="77"/>
      <c r="F310" s="77"/>
      <c r="G310" s="16" t="str">
        <f>VLOOKUP(B310,IF(A310="COMPOSICAO",S!$A:$D,I!$A:$D),3,FALSE)</f>
        <v>H</v>
      </c>
      <c r="H310" s="17">
        <v>1</v>
      </c>
      <c r="I310" s="17">
        <f>IF(A310="COMPOSICAO",VLOOKUP("TOTAL - "&amp;B310,COMPOSICAO_AUX_2!$A:$J,10,FALSE),VLOOKUP(B310,I!$A:$D,4,FALSE))</f>
        <v>30.55</v>
      </c>
      <c r="J310" s="80">
        <f t="shared" ref="J310:J315" si="15">TRUNC(H310*I310,2)</f>
        <v>30.55</v>
      </c>
      <c r="K310" s="81"/>
    </row>
    <row r="311" spans="1:13" ht="90" customHeight="1" x14ac:dyDescent="0.25">
      <c r="A311" s="16" t="s">
        <v>302</v>
      </c>
      <c r="B311" s="20">
        <v>53831</v>
      </c>
      <c r="C311" s="77" t="str">
        <f>VLOOKUP(B311,IF(A311="COMPOSICAO",S!$A:$D,I!$A:$D),2,FALSE)</f>
        <v>CAMINHÃO PIPA 10.000 L TRUCADO, PESO BRUTO TOTAL 23.000 KG, CARGA ÚTIL MÁXIMA 15.935 KG, DISTÂNCIA ENTRE EIXOS 4,8 M, POTÊNCIA 230 CV, INCLUSIVE TANQUE DE AÇO PARA TRANSPORTE DE ÁGUA - MATERIAIS NA OPERAÇÃO. AF_06/2014</v>
      </c>
      <c r="D311" s="77"/>
      <c r="E311" s="77"/>
      <c r="F311" s="77"/>
      <c r="G311" s="16" t="str">
        <f>VLOOKUP(B311,IF(A311="COMPOSICAO",S!$A:$D,I!$A:$D),3,FALSE)</f>
        <v>H</v>
      </c>
      <c r="H311" s="17">
        <v>1</v>
      </c>
      <c r="I311" s="17">
        <f>IF(A311="COMPOSICAO",VLOOKUP("TOTAL - "&amp;B311,COMPOSICAO_AUX_2!$A:$J,10,FALSE),VLOOKUP(B311,I!$A:$D,4,FALSE))</f>
        <v>150.83000000000001</v>
      </c>
      <c r="J311" s="80">
        <f t="shared" si="15"/>
        <v>150.83000000000001</v>
      </c>
      <c r="K311" s="81"/>
    </row>
    <row r="312" spans="1:13" ht="30" customHeight="1" x14ac:dyDescent="0.25">
      <c r="A312" s="16" t="s">
        <v>302</v>
      </c>
      <c r="B312" s="20">
        <v>88282</v>
      </c>
      <c r="C312" s="77" t="str">
        <f>VLOOKUP(B312,IF(A312="COMPOSICAO",S!$A:$D,I!$A:$D),2,FALSE)</f>
        <v>MOTORISTA DE CAMINHÃO COM ENCARGOS COMPLEMENTARES</v>
      </c>
      <c r="D312" s="77"/>
      <c r="E312" s="77"/>
      <c r="F312" s="77"/>
      <c r="G312" s="16" t="str">
        <f>VLOOKUP(B312,IF(A312="COMPOSICAO",S!$A:$D,I!$A:$D),3,FALSE)</f>
        <v>H</v>
      </c>
      <c r="H312" s="17">
        <v>1</v>
      </c>
      <c r="I312" s="17">
        <f>IF(A312="COMPOSICAO",VLOOKUP("TOTAL - "&amp;B312,COMPOSICAO_AUX_2!$A:$J,10,FALSE),VLOOKUP(B312,I!$A:$D,4,FALSE))</f>
        <v>22.15</v>
      </c>
      <c r="J312" s="80">
        <f t="shared" si="15"/>
        <v>22.15</v>
      </c>
      <c r="K312" s="81"/>
    </row>
    <row r="313" spans="1:13" ht="75" customHeight="1" x14ac:dyDescent="0.25">
      <c r="A313" s="16" t="s">
        <v>302</v>
      </c>
      <c r="B313" s="20">
        <v>91396</v>
      </c>
      <c r="C313" s="77" t="str">
        <f>VLOOKUP(B313,IF(A313="COMPOSICAO",S!$A:$D,I!$A:$D),2,FALSE)</f>
        <v>CAMINHÃO PIPA 10.000 L TRUCADO, PESO BRUTO TOTAL 23.000 KG, CARGA ÚTIL MÁXIMA 15.935 KG, DISTÂNCIA ENTRE EIXOS 4,8 M, POTÊNCIA 230 CV, INCLUSIVE TANQUE DE AÇO PARA TRANSPORTE DE ÁGUA - DEPRECIAÇÃO. AF_06/2014</v>
      </c>
      <c r="D313" s="77"/>
      <c r="E313" s="77"/>
      <c r="F313" s="77"/>
      <c r="G313" s="16" t="str">
        <f>VLOOKUP(B313,IF(A313="COMPOSICAO",S!$A:$D,I!$A:$D),3,FALSE)</f>
        <v>H</v>
      </c>
      <c r="H313" s="17">
        <v>1</v>
      </c>
      <c r="I313" s="17">
        <f>IF(A313="COMPOSICAO",VLOOKUP("TOTAL - "&amp;B313,COMPOSICAO_AUX_2!$A:$J,10,FALSE),VLOOKUP(B313,I!$A:$D,4,FALSE))</f>
        <v>16.3</v>
      </c>
      <c r="J313" s="80">
        <f t="shared" si="15"/>
        <v>16.3</v>
      </c>
      <c r="K313" s="81"/>
    </row>
    <row r="314" spans="1:13" ht="75" customHeight="1" x14ac:dyDescent="0.25">
      <c r="A314" s="16" t="s">
        <v>302</v>
      </c>
      <c r="B314" s="20">
        <v>91397</v>
      </c>
      <c r="C314" s="77" t="str">
        <f>VLOOKUP(B314,IF(A314="COMPOSICAO",S!$A:$D,I!$A:$D),2,FALSE)</f>
        <v>CAMINHÃO PIPA 10.000 L TRUCADO, PESO BRUTO TOTAL 23.000 KG, CARGA ÚTIL MÁXIMA 15.935 KG, DISTÂNCIA ENTRE EIXOS 4,8 M, POTÊNCIA 230 CV, INCLUSIVE TANQUE DE AÇO PARA TRANSPORTE DE ÁGUA - JUROS. AF_06/2014</v>
      </c>
      <c r="D314" s="77"/>
      <c r="E314" s="77"/>
      <c r="F314" s="77"/>
      <c r="G314" s="16" t="str">
        <f>VLOOKUP(B314,IF(A314="COMPOSICAO",S!$A:$D,I!$A:$D),3,FALSE)</f>
        <v>H</v>
      </c>
      <c r="H314" s="17">
        <v>1</v>
      </c>
      <c r="I314" s="17">
        <f>IF(A314="COMPOSICAO",VLOOKUP("TOTAL - "&amp;B314,COMPOSICAO_AUX_2!$A:$J,10,FALSE),VLOOKUP(B314,I!$A:$D,4,FALSE))</f>
        <v>3.41</v>
      </c>
      <c r="J314" s="80">
        <f t="shared" si="15"/>
        <v>3.41</v>
      </c>
      <c r="K314" s="81"/>
    </row>
    <row r="315" spans="1:13" ht="75" customHeight="1" x14ac:dyDescent="0.25">
      <c r="A315" s="16" t="s">
        <v>302</v>
      </c>
      <c r="B315" s="20">
        <v>91398</v>
      </c>
      <c r="C315" s="77" t="str">
        <f>VLOOKUP(B315,IF(A315="COMPOSICAO",S!$A:$D,I!$A:$D),2,FALSE)</f>
        <v>CAMINHÃO PIPA 10.000 L TRUCADO, PESO BRUTO TOTAL 23.000 KG, CARGA ÚTIL MÁXIMA 15.935 KG, DISTÂNCIA ENTRE EIXOS 4,8 M, POTÊNCIA 230 CV, INCLUSIVE TANQUE DE AÇO PARA TRANSPORTE DE ÁGUA - IMPOSTOS E SEGUROS. AF_06/2014</v>
      </c>
      <c r="D315" s="77"/>
      <c r="E315" s="77"/>
      <c r="F315" s="77"/>
      <c r="G315" s="16" t="str">
        <f>VLOOKUP(B315,IF(A315="COMPOSICAO",S!$A:$D,I!$A:$D),3,FALSE)</f>
        <v>H</v>
      </c>
      <c r="H315" s="17">
        <v>1</v>
      </c>
      <c r="I315" s="17">
        <f>IF(A315="COMPOSICAO",VLOOKUP("TOTAL - "&amp;B315,COMPOSICAO_AUX_2!$A:$J,10,FALSE),VLOOKUP(B315,I!$A:$D,4,FALSE))</f>
        <v>1.32</v>
      </c>
      <c r="J315" s="80">
        <f t="shared" si="15"/>
        <v>1.32</v>
      </c>
      <c r="K315" s="81"/>
    </row>
    <row r="316" spans="1:13" ht="15" customHeight="1" x14ac:dyDescent="0.25">
      <c r="A316" s="23" t="s">
        <v>573</v>
      </c>
      <c r="B316" s="24"/>
      <c r="C316" s="24"/>
      <c r="D316" s="24"/>
      <c r="E316" s="24"/>
      <c r="F316" s="24"/>
      <c r="G316" s="25"/>
      <c r="H316" s="26"/>
      <c r="I316" s="27"/>
      <c r="J316" s="80">
        <f>SUM(J309:K315)</f>
        <v>224.56000000000003</v>
      </c>
      <c r="K316" s="81"/>
    </row>
    <row r="317" spans="1:13" ht="15" customHeight="1" x14ac:dyDescent="0.25">
      <c r="A317" s="3"/>
      <c r="B317" s="3"/>
      <c r="C317" s="3"/>
      <c r="D317" s="3"/>
      <c r="E317" s="3"/>
      <c r="F317" s="3"/>
      <c r="G317" s="3"/>
      <c r="H317" s="3"/>
      <c r="I317" s="3"/>
      <c r="J317" s="3"/>
      <c r="K317" s="3"/>
    </row>
    <row r="318" spans="1:13" ht="15" customHeight="1" x14ac:dyDescent="0.25">
      <c r="A318" s="10" t="s">
        <v>295</v>
      </c>
      <c r="B318" s="10" t="s">
        <v>31</v>
      </c>
      <c r="C318" s="82" t="s">
        <v>7</v>
      </c>
      <c r="D318" s="83"/>
      <c r="E318" s="83"/>
      <c r="F318" s="83"/>
      <c r="G318" s="6" t="s">
        <v>32</v>
      </c>
      <c r="H318" s="6" t="s">
        <v>296</v>
      </c>
      <c r="I318" s="6" t="s">
        <v>297</v>
      </c>
      <c r="J318" s="57" t="s">
        <v>9</v>
      </c>
      <c r="K318" s="58"/>
    </row>
    <row r="319" spans="1:13" ht="75" customHeight="1" x14ac:dyDescent="0.25">
      <c r="A319" s="6" t="s">
        <v>572</v>
      </c>
      <c r="B319" s="28">
        <v>5903</v>
      </c>
      <c r="C319" s="91" t="str">
        <f>VLOOKUP(B319,S!$A:$D,2,FALSE)</f>
        <v>CAMINHÃO PIPA 10.000 L TRUCADO, PESO BRUTO TOTAL 23.000 KG, CARGA ÚTIL MÁXIMA 15.935 KG, DISTÂNCIA ENTRE EIXOS 4,8 M, POTÊNCIA 230 CV, INCLUSIVE TANQUE DE AÇO PARA TRANSPORTE DE ÁGUA - CHI DIURNO. AF_06/2014</v>
      </c>
      <c r="D319" s="91"/>
      <c r="E319" s="91"/>
      <c r="F319" s="92"/>
      <c r="G319" s="6" t="str">
        <f>VLOOKUP(B319,S!$A:$D,3,FALSE)</f>
        <v>CHI</v>
      </c>
      <c r="H319" s="21"/>
      <c r="I319" s="21">
        <f>J324</f>
        <v>43.18</v>
      </c>
      <c r="J319" s="76"/>
      <c r="K319" s="72"/>
      <c r="L319" s="21">
        <f>VLOOKUP(B319,S!$A:$D,4,FALSE)</f>
        <v>43.18</v>
      </c>
      <c r="M319" s="6" t="str">
        <f>IF(ROUND((L319-I319),2)=0,"OK, confere com a tabela.",IF(ROUND((L319-I319),2)&lt;0,"ACIMA ("&amp;TEXT(ROUND(I319*100/L319,4),"0,0000")&amp;" %) da tabela.","ABAIXO ("&amp;TEXT(ROUND(I319*100/L319,4),"0,0000")&amp;" %) da tabela."))</f>
        <v>OK, confere com a tabela.</v>
      </c>
    </row>
    <row r="320" spans="1:13" ht="30" customHeight="1" x14ac:dyDescent="0.25">
      <c r="A320" s="16" t="s">
        <v>302</v>
      </c>
      <c r="B320" s="20">
        <v>88282</v>
      </c>
      <c r="C320" s="77" t="str">
        <f>VLOOKUP(B320,IF(A320="COMPOSICAO",S!$A:$D,I!$A:$D),2,FALSE)</f>
        <v>MOTORISTA DE CAMINHÃO COM ENCARGOS COMPLEMENTARES</v>
      </c>
      <c r="D320" s="77"/>
      <c r="E320" s="77"/>
      <c r="F320" s="77"/>
      <c r="G320" s="16" t="str">
        <f>VLOOKUP(B320,IF(A320="COMPOSICAO",S!$A:$D,I!$A:$D),3,FALSE)</f>
        <v>H</v>
      </c>
      <c r="H320" s="17">
        <v>1</v>
      </c>
      <c r="I320" s="17">
        <f>IF(A320="COMPOSICAO",VLOOKUP("TOTAL - "&amp;B320,COMPOSICAO_AUX_2!$A:$J,10,FALSE),VLOOKUP(B320,I!$A:$D,4,FALSE))</f>
        <v>22.15</v>
      </c>
      <c r="J320" s="80">
        <f>TRUNC(H320*I320,2)</f>
        <v>22.15</v>
      </c>
      <c r="K320" s="81"/>
    </row>
    <row r="321" spans="1:13" ht="75" customHeight="1" x14ac:dyDescent="0.25">
      <c r="A321" s="16" t="s">
        <v>302</v>
      </c>
      <c r="B321" s="20">
        <v>91396</v>
      </c>
      <c r="C321" s="77" t="str">
        <f>VLOOKUP(B321,IF(A321="COMPOSICAO",S!$A:$D,I!$A:$D),2,FALSE)</f>
        <v>CAMINHÃO PIPA 10.000 L TRUCADO, PESO BRUTO TOTAL 23.000 KG, CARGA ÚTIL MÁXIMA 15.935 KG, DISTÂNCIA ENTRE EIXOS 4,8 M, POTÊNCIA 230 CV, INCLUSIVE TANQUE DE AÇO PARA TRANSPORTE DE ÁGUA - DEPRECIAÇÃO. AF_06/2014</v>
      </c>
      <c r="D321" s="77"/>
      <c r="E321" s="77"/>
      <c r="F321" s="77"/>
      <c r="G321" s="16" t="str">
        <f>VLOOKUP(B321,IF(A321="COMPOSICAO",S!$A:$D,I!$A:$D),3,FALSE)</f>
        <v>H</v>
      </c>
      <c r="H321" s="17">
        <v>1</v>
      </c>
      <c r="I321" s="17">
        <f>IF(A321="COMPOSICAO",VLOOKUP("TOTAL - "&amp;B321,COMPOSICAO_AUX_2!$A:$J,10,FALSE),VLOOKUP(B321,I!$A:$D,4,FALSE))</f>
        <v>16.3</v>
      </c>
      <c r="J321" s="80">
        <f>TRUNC(H321*I321,2)</f>
        <v>16.3</v>
      </c>
      <c r="K321" s="81"/>
    </row>
    <row r="322" spans="1:13" ht="75" customHeight="1" x14ac:dyDescent="0.25">
      <c r="A322" s="16" t="s">
        <v>302</v>
      </c>
      <c r="B322" s="20">
        <v>91397</v>
      </c>
      <c r="C322" s="77" t="str">
        <f>VLOOKUP(B322,IF(A322="COMPOSICAO",S!$A:$D,I!$A:$D),2,FALSE)</f>
        <v>CAMINHÃO PIPA 10.000 L TRUCADO, PESO BRUTO TOTAL 23.000 KG, CARGA ÚTIL MÁXIMA 15.935 KG, DISTÂNCIA ENTRE EIXOS 4,8 M, POTÊNCIA 230 CV, INCLUSIVE TANQUE DE AÇO PARA TRANSPORTE DE ÁGUA - JUROS. AF_06/2014</v>
      </c>
      <c r="D322" s="77"/>
      <c r="E322" s="77"/>
      <c r="F322" s="77"/>
      <c r="G322" s="16" t="str">
        <f>VLOOKUP(B322,IF(A322="COMPOSICAO",S!$A:$D,I!$A:$D),3,FALSE)</f>
        <v>H</v>
      </c>
      <c r="H322" s="17">
        <v>1</v>
      </c>
      <c r="I322" s="17">
        <f>IF(A322="COMPOSICAO",VLOOKUP("TOTAL - "&amp;B322,COMPOSICAO_AUX_2!$A:$J,10,FALSE),VLOOKUP(B322,I!$A:$D,4,FALSE))</f>
        <v>3.41</v>
      </c>
      <c r="J322" s="80">
        <f>TRUNC(H322*I322,2)</f>
        <v>3.41</v>
      </c>
      <c r="K322" s="81"/>
    </row>
    <row r="323" spans="1:13" ht="75" customHeight="1" x14ac:dyDescent="0.25">
      <c r="A323" s="16" t="s">
        <v>302</v>
      </c>
      <c r="B323" s="20">
        <v>91398</v>
      </c>
      <c r="C323" s="77" t="str">
        <f>VLOOKUP(B323,IF(A323="COMPOSICAO",S!$A:$D,I!$A:$D),2,FALSE)</f>
        <v>CAMINHÃO PIPA 10.000 L TRUCADO, PESO BRUTO TOTAL 23.000 KG, CARGA ÚTIL MÁXIMA 15.935 KG, DISTÂNCIA ENTRE EIXOS 4,8 M, POTÊNCIA 230 CV, INCLUSIVE TANQUE DE AÇO PARA TRANSPORTE DE ÁGUA - IMPOSTOS E SEGUROS. AF_06/2014</v>
      </c>
      <c r="D323" s="77"/>
      <c r="E323" s="77"/>
      <c r="F323" s="77"/>
      <c r="G323" s="16" t="str">
        <f>VLOOKUP(B323,IF(A323="COMPOSICAO",S!$A:$D,I!$A:$D),3,FALSE)</f>
        <v>H</v>
      </c>
      <c r="H323" s="17">
        <v>1</v>
      </c>
      <c r="I323" s="17">
        <f>IF(A323="COMPOSICAO",VLOOKUP("TOTAL - "&amp;B323,COMPOSICAO_AUX_2!$A:$J,10,FALSE),VLOOKUP(B323,I!$A:$D,4,FALSE))</f>
        <v>1.32</v>
      </c>
      <c r="J323" s="80">
        <f>TRUNC(H323*I323,2)</f>
        <v>1.32</v>
      </c>
      <c r="K323" s="81"/>
    </row>
    <row r="324" spans="1:13" ht="15" customHeight="1" x14ac:dyDescent="0.25">
      <c r="A324" s="23" t="s">
        <v>574</v>
      </c>
      <c r="B324" s="24"/>
      <c r="C324" s="24"/>
      <c r="D324" s="24"/>
      <c r="E324" s="24"/>
      <c r="F324" s="24"/>
      <c r="G324" s="25"/>
      <c r="H324" s="26"/>
      <c r="I324" s="27"/>
      <c r="J324" s="80">
        <f>SUM(J319:K323)</f>
        <v>43.18</v>
      </c>
      <c r="K324" s="81"/>
    </row>
    <row r="325" spans="1:13" ht="15" customHeight="1" x14ac:dyDescent="0.25">
      <c r="A325" s="3"/>
      <c r="B325" s="3"/>
      <c r="C325" s="3"/>
      <c r="D325" s="3"/>
      <c r="E325" s="3"/>
      <c r="F325" s="3"/>
      <c r="G325" s="3"/>
      <c r="H325" s="3"/>
      <c r="I325" s="3"/>
      <c r="J325" s="3"/>
      <c r="K325" s="3"/>
    </row>
    <row r="326" spans="1:13" ht="15" customHeight="1" x14ac:dyDescent="0.25">
      <c r="A326" s="10" t="s">
        <v>295</v>
      </c>
      <c r="B326" s="10" t="s">
        <v>31</v>
      </c>
      <c r="C326" s="82" t="s">
        <v>7</v>
      </c>
      <c r="D326" s="83"/>
      <c r="E326" s="83"/>
      <c r="F326" s="83"/>
      <c r="G326" s="6" t="s">
        <v>32</v>
      </c>
      <c r="H326" s="6" t="s">
        <v>296</v>
      </c>
      <c r="I326" s="6" t="s">
        <v>297</v>
      </c>
      <c r="J326" s="57" t="s">
        <v>9</v>
      </c>
      <c r="K326" s="58"/>
    </row>
    <row r="327" spans="1:13" ht="45" customHeight="1" x14ac:dyDescent="0.25">
      <c r="A327" s="6" t="s">
        <v>572</v>
      </c>
      <c r="B327" s="28">
        <v>91533</v>
      </c>
      <c r="C327" s="91" t="str">
        <f>VLOOKUP(B327,S!$A:$D,2,FALSE)</f>
        <v>COMPACTADOR DE SOLOS DE PERCUSSÃO (SOQUETE) COM MOTOR A GASOLINA 4 TEMPOS, POTÊNCIA 4 CV - CHP DIURNO. AF_08/2015</v>
      </c>
      <c r="D327" s="91"/>
      <c r="E327" s="91"/>
      <c r="F327" s="92"/>
      <c r="G327" s="6" t="str">
        <f>VLOOKUP(B327,S!$A:$D,3,FALSE)</f>
        <v>CHP</v>
      </c>
      <c r="H327" s="21"/>
      <c r="I327" s="21">
        <f>J333</f>
        <v>32.82</v>
      </c>
      <c r="J327" s="76"/>
      <c r="K327" s="72"/>
      <c r="L327" s="21">
        <f>VLOOKUP(B327,S!$A:$D,4,FALSE)</f>
        <v>32.82</v>
      </c>
      <c r="M327" s="6" t="str">
        <f>IF(ROUND((L327-I327),2)=0,"OK, confere com a tabela.",IF(ROUND((L327-I327),2)&lt;0,"ACIMA ("&amp;TEXT(ROUND(I327*100/L327,4),"0,0000")&amp;" %) da tabela.","ABAIXO ("&amp;TEXT(ROUND(I327*100/L327,4),"0,0000")&amp;" %) da tabela."))</f>
        <v>OK, confere com a tabela.</v>
      </c>
    </row>
    <row r="328" spans="1:13" ht="30" customHeight="1" x14ac:dyDescent="0.25">
      <c r="A328" s="16" t="s">
        <v>302</v>
      </c>
      <c r="B328" s="20">
        <v>88297</v>
      </c>
      <c r="C328" s="77" t="str">
        <f>VLOOKUP(B328,IF(A328="COMPOSICAO",S!$A:$D,I!$A:$D),2,FALSE)</f>
        <v>OPERADOR DE MÁQUINAS E EQUIPAMENTOS COM ENCARGOS COMPLEMENTARES</v>
      </c>
      <c r="D328" s="77"/>
      <c r="E328" s="77"/>
      <c r="F328" s="77"/>
      <c r="G328" s="16" t="str">
        <f>VLOOKUP(B328,IF(A328="COMPOSICAO",S!$A:$D,I!$A:$D),3,FALSE)</f>
        <v>H</v>
      </c>
      <c r="H328" s="17">
        <v>1</v>
      </c>
      <c r="I328" s="17">
        <f>IF(A328="COMPOSICAO",VLOOKUP("TOTAL - "&amp;B328,COMPOSICAO_AUX_2!$A:$J,10,FALSE),VLOOKUP(B328,I!$A:$D,4,FALSE))</f>
        <v>25.04</v>
      </c>
      <c r="J328" s="80">
        <f>TRUNC(H328*I328,2)</f>
        <v>25.04</v>
      </c>
      <c r="K328" s="81"/>
    </row>
    <row r="329" spans="1:13" ht="45" customHeight="1" x14ac:dyDescent="0.25">
      <c r="A329" s="16" t="s">
        <v>302</v>
      </c>
      <c r="B329" s="20">
        <v>91529</v>
      </c>
      <c r="C329" s="77" t="str">
        <f>VLOOKUP(B329,IF(A329="COMPOSICAO",S!$A:$D,I!$A:$D),2,FALSE)</f>
        <v>COMPACTADOR DE SOLOS DE PERCUSSÃO (SOQUETE) COM MOTOR A GASOLINA 4 TEMPOS, POTÊNCIA 4 CV - DEPRECIAÇÃO. AF_08/2015</v>
      </c>
      <c r="D329" s="77"/>
      <c r="E329" s="77"/>
      <c r="F329" s="77"/>
      <c r="G329" s="16" t="str">
        <f>VLOOKUP(B329,IF(A329="COMPOSICAO",S!$A:$D,I!$A:$D),3,FALSE)</f>
        <v>H</v>
      </c>
      <c r="H329" s="17">
        <v>1</v>
      </c>
      <c r="I329" s="17">
        <f>IF(A329="COMPOSICAO",VLOOKUP("TOTAL - "&amp;B329,COMPOSICAO_AUX_2!$A:$J,10,FALSE),VLOOKUP(B329,I!$A:$D,4,FALSE))</f>
        <v>0.67</v>
      </c>
      <c r="J329" s="80">
        <f>TRUNC(H329*I329,2)</f>
        <v>0.67</v>
      </c>
      <c r="K329" s="81"/>
    </row>
    <row r="330" spans="1:13" ht="45" customHeight="1" x14ac:dyDescent="0.25">
      <c r="A330" s="16" t="s">
        <v>302</v>
      </c>
      <c r="B330" s="20">
        <v>91530</v>
      </c>
      <c r="C330" s="77" t="str">
        <f>VLOOKUP(B330,IF(A330="COMPOSICAO",S!$A:$D,I!$A:$D),2,FALSE)</f>
        <v>COMPACTADOR DE SOLOS DE PERCUSSÃO (SOQUETE) COM MOTOR A GASOLINA 4 TEMPOS, POTÊNCIA 4 CV - JUROS. AF_08/2015</v>
      </c>
      <c r="D330" s="77"/>
      <c r="E330" s="77"/>
      <c r="F330" s="77"/>
      <c r="G330" s="16" t="str">
        <f>VLOOKUP(B330,IF(A330="COMPOSICAO",S!$A:$D,I!$A:$D),3,FALSE)</f>
        <v>H</v>
      </c>
      <c r="H330" s="17">
        <v>1</v>
      </c>
      <c r="I330" s="17">
        <f>IF(A330="COMPOSICAO",VLOOKUP("TOTAL - "&amp;B330,COMPOSICAO_AUX_2!$A:$J,10,FALSE),VLOOKUP(B330,I!$A:$D,4,FALSE))</f>
        <v>0.09</v>
      </c>
      <c r="J330" s="80">
        <f>TRUNC(H330*I330,2)</f>
        <v>0.09</v>
      </c>
      <c r="K330" s="81"/>
    </row>
    <row r="331" spans="1:13" ht="45" customHeight="1" x14ac:dyDescent="0.25">
      <c r="A331" s="16" t="s">
        <v>302</v>
      </c>
      <c r="B331" s="20">
        <v>91531</v>
      </c>
      <c r="C331" s="77" t="str">
        <f>VLOOKUP(B331,IF(A331="COMPOSICAO",S!$A:$D,I!$A:$D),2,FALSE)</f>
        <v>COMPACTADOR DE SOLOS DE PERCUSSÃO (SOQUETE) COM MOTOR A GASOLINA 4 TEMPOS, POTÊNCIA 4 CV - MANUTENÇÃO. AF_08/2015</v>
      </c>
      <c r="D331" s="77"/>
      <c r="E331" s="77"/>
      <c r="F331" s="77"/>
      <c r="G331" s="16" t="str">
        <f>VLOOKUP(B331,IF(A331="COMPOSICAO",S!$A:$D,I!$A:$D),3,FALSE)</f>
        <v>H</v>
      </c>
      <c r="H331" s="17">
        <v>1</v>
      </c>
      <c r="I331" s="17">
        <f>IF(A331="COMPOSICAO",VLOOKUP("TOTAL - "&amp;B331,COMPOSICAO_AUX_2!$A:$J,10,FALSE),VLOOKUP(B331,I!$A:$D,4,FALSE))</f>
        <v>0.84</v>
      </c>
      <c r="J331" s="80">
        <f>TRUNC(H331*I331,2)</f>
        <v>0.84</v>
      </c>
      <c r="K331" s="81"/>
    </row>
    <row r="332" spans="1:13" ht="45" customHeight="1" x14ac:dyDescent="0.25">
      <c r="A332" s="16" t="s">
        <v>302</v>
      </c>
      <c r="B332" s="20">
        <v>91532</v>
      </c>
      <c r="C332" s="77" t="str">
        <f>VLOOKUP(B332,IF(A332="COMPOSICAO",S!$A:$D,I!$A:$D),2,FALSE)</f>
        <v>COMPACTADOR DE SOLOS DE PERCUSSÃO (SOQUETE) COM MOTOR A GASOLINA 4 TEMPOS, POTÊNCIA 4 CV - MATERIAIS NA OPERAÇÃO. AF_08/2015</v>
      </c>
      <c r="D332" s="77"/>
      <c r="E332" s="77"/>
      <c r="F332" s="77"/>
      <c r="G332" s="16" t="str">
        <f>VLOOKUP(B332,IF(A332="COMPOSICAO",S!$A:$D,I!$A:$D),3,FALSE)</f>
        <v>H</v>
      </c>
      <c r="H332" s="17">
        <v>1</v>
      </c>
      <c r="I332" s="17">
        <f>IF(A332="COMPOSICAO",VLOOKUP("TOTAL - "&amp;B332,COMPOSICAO_AUX_2!$A:$J,10,FALSE),VLOOKUP(B332,I!$A:$D,4,FALSE))</f>
        <v>6.18</v>
      </c>
      <c r="J332" s="80">
        <f>TRUNC(H332*I332,2)</f>
        <v>6.18</v>
      </c>
      <c r="K332" s="81"/>
    </row>
    <row r="333" spans="1:13" ht="15" customHeight="1" x14ac:dyDescent="0.25">
      <c r="A333" s="23" t="s">
        <v>575</v>
      </c>
      <c r="B333" s="24"/>
      <c r="C333" s="24"/>
      <c r="D333" s="24"/>
      <c r="E333" s="24"/>
      <c r="F333" s="24"/>
      <c r="G333" s="25"/>
      <c r="H333" s="26"/>
      <c r="I333" s="27"/>
      <c r="J333" s="80">
        <f>SUM(J327:K332)</f>
        <v>32.82</v>
      </c>
      <c r="K333" s="81"/>
    </row>
    <row r="334" spans="1:13" ht="15" customHeight="1" x14ac:dyDescent="0.25">
      <c r="A334" s="3"/>
      <c r="B334" s="3"/>
      <c r="C334" s="3"/>
      <c r="D334" s="3"/>
      <c r="E334" s="3"/>
      <c r="F334" s="3"/>
      <c r="G334" s="3"/>
      <c r="H334" s="3"/>
      <c r="I334" s="3"/>
      <c r="J334" s="3"/>
      <c r="K334" s="3"/>
    </row>
    <row r="335" spans="1:13" ht="15" customHeight="1" x14ac:dyDescent="0.25">
      <c r="A335" s="10" t="s">
        <v>295</v>
      </c>
      <c r="B335" s="10" t="s">
        <v>31</v>
      </c>
      <c r="C335" s="82" t="s">
        <v>7</v>
      </c>
      <c r="D335" s="83"/>
      <c r="E335" s="83"/>
      <c r="F335" s="83"/>
      <c r="G335" s="6" t="s">
        <v>32</v>
      </c>
      <c r="H335" s="6" t="s">
        <v>296</v>
      </c>
      <c r="I335" s="6" t="s">
        <v>297</v>
      </c>
      <c r="J335" s="57" t="s">
        <v>9</v>
      </c>
      <c r="K335" s="58"/>
    </row>
    <row r="336" spans="1:13" ht="45" customHeight="1" x14ac:dyDescent="0.25">
      <c r="A336" s="6" t="s">
        <v>572</v>
      </c>
      <c r="B336" s="28">
        <v>91534</v>
      </c>
      <c r="C336" s="91" t="str">
        <f>VLOOKUP(B336,S!$A:$D,2,FALSE)</f>
        <v>COMPACTADOR DE SOLOS DE PERCUSSÃO (SOQUETE) COM MOTOR A GASOLINA 4 TEMPOS, POTÊNCIA 4 CV - CHI DIURNO. AF_08/2015</v>
      </c>
      <c r="D336" s="91"/>
      <c r="E336" s="91"/>
      <c r="F336" s="92"/>
      <c r="G336" s="6" t="str">
        <f>VLOOKUP(B336,S!$A:$D,3,FALSE)</f>
        <v>CHI</v>
      </c>
      <c r="H336" s="21"/>
      <c r="I336" s="21">
        <f>J340</f>
        <v>25.8</v>
      </c>
      <c r="J336" s="76"/>
      <c r="K336" s="72"/>
      <c r="L336" s="21">
        <f>VLOOKUP(B336,S!$A:$D,4,FALSE)</f>
        <v>25.8</v>
      </c>
      <c r="M336" s="6" t="str">
        <f>IF(ROUND((L336-I336),2)=0,"OK, confere com a tabela.",IF(ROUND((L336-I336),2)&lt;0,"ACIMA ("&amp;TEXT(ROUND(I336*100/L336,4),"0,0000")&amp;" %) da tabela.","ABAIXO ("&amp;TEXT(ROUND(I336*100/L336,4),"0,0000")&amp;" %) da tabela."))</f>
        <v>OK, confere com a tabela.</v>
      </c>
    </row>
    <row r="337" spans="1:13" ht="30" customHeight="1" x14ac:dyDescent="0.25">
      <c r="A337" s="16" t="s">
        <v>302</v>
      </c>
      <c r="B337" s="20">
        <v>88297</v>
      </c>
      <c r="C337" s="77" t="str">
        <f>VLOOKUP(B337,IF(A337="COMPOSICAO",S!$A:$D,I!$A:$D),2,FALSE)</f>
        <v>OPERADOR DE MÁQUINAS E EQUIPAMENTOS COM ENCARGOS COMPLEMENTARES</v>
      </c>
      <c r="D337" s="77"/>
      <c r="E337" s="77"/>
      <c r="F337" s="77"/>
      <c r="G337" s="16" t="str">
        <f>VLOOKUP(B337,IF(A337="COMPOSICAO",S!$A:$D,I!$A:$D),3,FALSE)</f>
        <v>H</v>
      </c>
      <c r="H337" s="17">
        <v>1</v>
      </c>
      <c r="I337" s="17">
        <f>IF(A337="COMPOSICAO",VLOOKUP("TOTAL - "&amp;B337,COMPOSICAO_AUX_2!$A:$J,10,FALSE),VLOOKUP(B337,I!$A:$D,4,FALSE))</f>
        <v>25.04</v>
      </c>
      <c r="J337" s="80">
        <f>TRUNC(H337*I337,2)</f>
        <v>25.04</v>
      </c>
      <c r="K337" s="81"/>
    </row>
    <row r="338" spans="1:13" ht="45" customHeight="1" x14ac:dyDescent="0.25">
      <c r="A338" s="16" t="s">
        <v>302</v>
      </c>
      <c r="B338" s="20">
        <v>91529</v>
      </c>
      <c r="C338" s="77" t="str">
        <f>VLOOKUP(B338,IF(A338="COMPOSICAO",S!$A:$D,I!$A:$D),2,FALSE)</f>
        <v>COMPACTADOR DE SOLOS DE PERCUSSÃO (SOQUETE) COM MOTOR A GASOLINA 4 TEMPOS, POTÊNCIA 4 CV - DEPRECIAÇÃO. AF_08/2015</v>
      </c>
      <c r="D338" s="77"/>
      <c r="E338" s="77"/>
      <c r="F338" s="77"/>
      <c r="G338" s="16" t="str">
        <f>VLOOKUP(B338,IF(A338="COMPOSICAO",S!$A:$D,I!$A:$D),3,FALSE)</f>
        <v>H</v>
      </c>
      <c r="H338" s="17">
        <v>1</v>
      </c>
      <c r="I338" s="17">
        <f>IF(A338="COMPOSICAO",VLOOKUP("TOTAL - "&amp;B338,COMPOSICAO_AUX_2!$A:$J,10,FALSE),VLOOKUP(B338,I!$A:$D,4,FALSE))</f>
        <v>0.67</v>
      </c>
      <c r="J338" s="80">
        <f>TRUNC(H338*I338,2)</f>
        <v>0.67</v>
      </c>
      <c r="K338" s="81"/>
    </row>
    <row r="339" spans="1:13" ht="45" customHeight="1" x14ac:dyDescent="0.25">
      <c r="A339" s="16" t="s">
        <v>302</v>
      </c>
      <c r="B339" s="20">
        <v>91530</v>
      </c>
      <c r="C339" s="77" t="str">
        <f>VLOOKUP(B339,IF(A339="COMPOSICAO",S!$A:$D,I!$A:$D),2,FALSE)</f>
        <v>COMPACTADOR DE SOLOS DE PERCUSSÃO (SOQUETE) COM MOTOR A GASOLINA 4 TEMPOS, POTÊNCIA 4 CV - JUROS. AF_08/2015</v>
      </c>
      <c r="D339" s="77"/>
      <c r="E339" s="77"/>
      <c r="F339" s="77"/>
      <c r="G339" s="16" t="str">
        <f>VLOOKUP(B339,IF(A339="COMPOSICAO",S!$A:$D,I!$A:$D),3,FALSE)</f>
        <v>H</v>
      </c>
      <c r="H339" s="17">
        <v>1</v>
      </c>
      <c r="I339" s="17">
        <f>IF(A339="COMPOSICAO",VLOOKUP("TOTAL - "&amp;B339,COMPOSICAO_AUX_2!$A:$J,10,FALSE),VLOOKUP(B339,I!$A:$D,4,FALSE))</f>
        <v>0.09</v>
      </c>
      <c r="J339" s="80">
        <f>TRUNC(H339*I339,2)</f>
        <v>0.09</v>
      </c>
      <c r="K339" s="81"/>
    </row>
    <row r="340" spans="1:13" ht="15" customHeight="1" x14ac:dyDescent="0.25">
      <c r="A340" s="23" t="s">
        <v>576</v>
      </c>
      <c r="B340" s="24"/>
      <c r="C340" s="24"/>
      <c r="D340" s="24"/>
      <c r="E340" s="24"/>
      <c r="F340" s="24"/>
      <c r="G340" s="25"/>
      <c r="H340" s="26"/>
      <c r="I340" s="27"/>
      <c r="J340" s="80">
        <f>SUM(J336:K339)</f>
        <v>25.8</v>
      </c>
      <c r="K340" s="81"/>
    </row>
    <row r="341" spans="1:13" ht="15" customHeight="1" x14ac:dyDescent="0.25">
      <c r="A341" s="3"/>
      <c r="B341" s="3"/>
      <c r="C341" s="3"/>
      <c r="D341" s="3"/>
      <c r="E341" s="3"/>
      <c r="F341" s="3"/>
      <c r="G341" s="3"/>
      <c r="H341" s="3"/>
      <c r="I341" s="3"/>
      <c r="J341" s="3"/>
      <c r="K341" s="3"/>
    </row>
    <row r="342" spans="1:13" ht="15" customHeight="1" x14ac:dyDescent="0.25">
      <c r="A342" s="10" t="s">
        <v>295</v>
      </c>
      <c r="B342" s="10" t="s">
        <v>31</v>
      </c>
      <c r="C342" s="82" t="s">
        <v>7</v>
      </c>
      <c r="D342" s="83"/>
      <c r="E342" s="83"/>
      <c r="F342" s="83"/>
      <c r="G342" s="6" t="s">
        <v>32</v>
      </c>
      <c r="H342" s="6" t="s">
        <v>296</v>
      </c>
      <c r="I342" s="6" t="s">
        <v>297</v>
      </c>
      <c r="J342" s="57" t="s">
        <v>9</v>
      </c>
      <c r="K342" s="58"/>
    </row>
    <row r="343" spans="1:13" ht="60" customHeight="1" x14ac:dyDescent="0.25">
      <c r="A343" s="6" t="s">
        <v>363</v>
      </c>
      <c r="B343" s="28">
        <v>92415</v>
      </c>
      <c r="C343" s="91" t="str">
        <f>VLOOKUP(B343,S!$A:$D,2,FALSE)</f>
        <v>MONTAGEM E DESMONTAGEM DE FÔRMA DE PILARES RETANGULARES E ESTRUTURAS SIMILARES, PÉ-DIREITO SIMPLES, EM CHAPA DE MADEIRA COMPENSADA RESINADA, 2 UTILIZAÇÕES. AF_09/2020</v>
      </c>
      <c r="D343" s="91"/>
      <c r="E343" s="91"/>
      <c r="F343" s="92"/>
      <c r="G343" s="6" t="str">
        <f>VLOOKUP(B343,S!$A:$D,3,FALSE)</f>
        <v>M2</v>
      </c>
      <c r="H343" s="21"/>
      <c r="I343" s="21">
        <f>J352</f>
        <v>94.72999999999999</v>
      </c>
      <c r="J343" s="76"/>
      <c r="K343" s="72"/>
      <c r="L343" s="21">
        <f>VLOOKUP(B343,S!$A:$D,4,FALSE)</f>
        <v>94.73</v>
      </c>
      <c r="M343" s="6" t="str">
        <f>IF(ROUND((L343-I343),2)=0,"OK, confere com a tabela.",IF(ROUND((L343-I343),2)&lt;0,"ACIMA ("&amp;TEXT(ROUND(I343*100/L343,4),"0,0000")&amp;" %) da tabela.","ABAIXO ("&amp;TEXT(ROUND(I343*100/L343,4),"0,0000")&amp;" %) da tabela."))</f>
        <v>OK, confere com a tabela.</v>
      </c>
    </row>
    <row r="344" spans="1:13" ht="30" customHeight="1" x14ac:dyDescent="0.25">
      <c r="A344" s="16" t="s">
        <v>306</v>
      </c>
      <c r="B344" s="20">
        <v>2692</v>
      </c>
      <c r="C344" s="77" t="str">
        <f>VLOOKUP(B344,IF(A344="COMPOSICAO",S!$A:$D,I!$A:$D),2,FALSE)</f>
        <v>DESMOLDANTE PROTETOR PARA FORMAS DE MADEIRA, DE BASE OLEOSA EMULSIONADA EM AGUA</v>
      </c>
      <c r="D344" s="77"/>
      <c r="E344" s="77"/>
      <c r="F344" s="77"/>
      <c r="G344" s="16" t="str">
        <f>VLOOKUP(B344,IF(A344="COMPOSICAO",S!$A:$D,I!$A:$D),3,FALSE)</f>
        <v>L</v>
      </c>
      <c r="H344" s="17">
        <v>0.01</v>
      </c>
      <c r="I344" s="17">
        <f>IF(A344="COMPOSICAO",VLOOKUP("TOTAL - "&amp;B344,COMPOSICAO_AUX_2!$A:$J,10,FALSE),VLOOKUP(B344,I!$A:$D,4,FALSE))</f>
        <v>6.94</v>
      </c>
      <c r="J344" s="80">
        <f t="shared" ref="J344:J351" si="16">TRUNC(H344*I344,2)</f>
        <v>0.06</v>
      </c>
      <c r="K344" s="81"/>
    </row>
    <row r="345" spans="1:13" ht="45" customHeight="1" x14ac:dyDescent="0.25">
      <c r="A345" s="16" t="s">
        <v>306</v>
      </c>
      <c r="B345" s="20">
        <v>40271</v>
      </c>
      <c r="C345" s="77" t="str">
        <f>VLOOKUP(B345,IF(A345="COMPOSICAO",S!$A:$D,I!$A:$D),2,FALSE)</f>
        <v>LOCACAO DE APRUMADOR METALICO DE PILAR, COM ALTURA E ANGULO REGULAVEIS, EXTENSAO DE *1,50* A *2,80* M</v>
      </c>
      <c r="D345" s="77"/>
      <c r="E345" s="77"/>
      <c r="F345" s="77"/>
      <c r="G345" s="16" t="str">
        <f>VLOOKUP(B345,IF(A345="COMPOSICAO",S!$A:$D,I!$A:$D),3,FALSE)</f>
        <v>MES</v>
      </c>
      <c r="H345" s="30">
        <v>0.19600000000000001</v>
      </c>
      <c r="I345" s="17">
        <f>IF(A345="COMPOSICAO",VLOOKUP("TOTAL - "&amp;B345,COMPOSICAO_AUX_2!$A:$J,10,FALSE),VLOOKUP(B345,I!$A:$D,4,FALSE))</f>
        <v>4.58</v>
      </c>
      <c r="J345" s="80">
        <f t="shared" si="16"/>
        <v>0.89</v>
      </c>
      <c r="K345" s="81"/>
    </row>
    <row r="346" spans="1:13" ht="45" customHeight="1" x14ac:dyDescent="0.25">
      <c r="A346" s="16" t="s">
        <v>306</v>
      </c>
      <c r="B346" s="20">
        <v>40275</v>
      </c>
      <c r="C346" s="77" t="str">
        <f>VLOOKUP(B346,IF(A346="COMPOSICAO",S!$A:$D,I!$A:$D),2,FALSE)</f>
        <v>LOCACAO DE VIGA SANDUICHE METALICA VAZADA PARA TRAVAMENTO DE PILARES, ALTURA DE *8* CM, LARGURA DE *6* CM E EXTENSAO DE 2 M</v>
      </c>
      <c r="D346" s="77"/>
      <c r="E346" s="77"/>
      <c r="F346" s="77"/>
      <c r="G346" s="16" t="str">
        <f>VLOOKUP(B346,IF(A346="COMPOSICAO",S!$A:$D,I!$A:$D),3,FALSE)</f>
        <v>MES</v>
      </c>
      <c r="H346" s="30">
        <v>0.39300000000000002</v>
      </c>
      <c r="I346" s="17">
        <f>IF(A346="COMPOSICAO",VLOOKUP("TOTAL - "&amp;B346,COMPOSICAO_AUX_2!$A:$J,10,FALSE),VLOOKUP(B346,I!$A:$D,4,FALSE))</f>
        <v>7.05</v>
      </c>
      <c r="J346" s="80">
        <f t="shared" si="16"/>
        <v>2.77</v>
      </c>
      <c r="K346" s="81"/>
    </row>
    <row r="347" spans="1:13" ht="45" customHeight="1" x14ac:dyDescent="0.25">
      <c r="A347" s="16" t="s">
        <v>306</v>
      </c>
      <c r="B347" s="20">
        <v>40287</v>
      </c>
      <c r="C347" s="77" t="str">
        <f>VLOOKUP(B347,IF(A347="COMPOSICAO",S!$A:$D,I!$A:$D),2,FALSE)</f>
        <v>LOCACAO DE BARRA DE ANCORAGEM DE 0,80 A 1,20 M DE EXTENSAO, COM ROSCA DE 5/8", INCLUINDO PORCA E FLANGE</v>
      </c>
      <c r="D347" s="77"/>
      <c r="E347" s="77"/>
      <c r="F347" s="77"/>
      <c r="G347" s="16" t="str">
        <f>VLOOKUP(B347,IF(A347="COMPOSICAO",S!$A:$D,I!$A:$D),3,FALSE)</f>
        <v>MES</v>
      </c>
      <c r="H347" s="30">
        <v>0.78500000000000003</v>
      </c>
      <c r="I347" s="17">
        <f>IF(A347="COMPOSICAO",VLOOKUP("TOTAL - "&amp;B347,COMPOSICAO_AUX_2!$A:$J,10,FALSE),VLOOKUP(B347,I!$A:$D,4,FALSE))</f>
        <v>1.76</v>
      </c>
      <c r="J347" s="80">
        <f t="shared" si="16"/>
        <v>1.38</v>
      </c>
      <c r="K347" s="81"/>
    </row>
    <row r="348" spans="1:13" ht="30" customHeight="1" x14ac:dyDescent="0.25">
      <c r="A348" s="16" t="s">
        <v>306</v>
      </c>
      <c r="B348" s="20">
        <v>40304</v>
      </c>
      <c r="C348" s="77" t="str">
        <f>VLOOKUP(B348,IF(A348="COMPOSICAO",S!$A:$D,I!$A:$D),2,FALSE)</f>
        <v>PREGO DE ACO POLIDO COM CABECA DUPLA 17 X 27 (2 1/2 X 11)</v>
      </c>
      <c r="D348" s="77"/>
      <c r="E348" s="77"/>
      <c r="F348" s="77"/>
      <c r="G348" s="16" t="str">
        <f>VLOOKUP(B348,IF(A348="COMPOSICAO",S!$A:$D,I!$A:$D),3,FALSE)</f>
        <v>KG</v>
      </c>
      <c r="H348" s="30">
        <v>1.9E-2</v>
      </c>
      <c r="I348" s="17">
        <f>IF(A348="COMPOSICAO",VLOOKUP("TOTAL - "&amp;B348,COMPOSICAO_AUX_2!$A:$J,10,FALSE),VLOOKUP(B348,I!$A:$D,4,FALSE))</f>
        <v>23.85</v>
      </c>
      <c r="J348" s="80">
        <f t="shared" si="16"/>
        <v>0.45</v>
      </c>
      <c r="K348" s="81"/>
    </row>
    <row r="349" spans="1:13" ht="30" customHeight="1" x14ac:dyDescent="0.25">
      <c r="A349" s="16" t="s">
        <v>302</v>
      </c>
      <c r="B349" s="20">
        <v>88239</v>
      </c>
      <c r="C349" s="77" t="str">
        <f>VLOOKUP(B349,IF(A349="COMPOSICAO",S!$A:$D,I!$A:$D),2,FALSE)</f>
        <v>AJUDANTE DE CARPINTEIRO COM ENCARGOS COMPLEMENTARES</v>
      </c>
      <c r="D349" s="77"/>
      <c r="E349" s="77"/>
      <c r="F349" s="77"/>
      <c r="G349" s="16" t="str">
        <f>VLOOKUP(B349,IF(A349="COMPOSICAO",S!$A:$D,I!$A:$D),3,FALSE)</f>
        <v>H</v>
      </c>
      <c r="H349" s="30">
        <v>0.20599999999999999</v>
      </c>
      <c r="I349" s="17">
        <f>IF(A349="COMPOSICAO",VLOOKUP("TOTAL - "&amp;B349,COMPOSICAO_AUX_2!$A:$J,10,FALSE),VLOOKUP(B349,I!$A:$D,4,FALSE))</f>
        <v>16.470000000000002</v>
      </c>
      <c r="J349" s="80">
        <f t="shared" si="16"/>
        <v>3.39</v>
      </c>
      <c r="K349" s="81"/>
    </row>
    <row r="350" spans="1:13" ht="30" customHeight="1" x14ac:dyDescent="0.25">
      <c r="A350" s="16" t="s">
        <v>302</v>
      </c>
      <c r="B350" s="20">
        <v>88262</v>
      </c>
      <c r="C350" s="77" t="str">
        <f>VLOOKUP(B350,IF(A350="COMPOSICAO",S!$A:$D,I!$A:$D),2,FALSE)</f>
        <v>CARPINTEIRO DE FORMAS COM ENCARGOS COMPLEMENTARES</v>
      </c>
      <c r="D350" s="77"/>
      <c r="E350" s="77"/>
      <c r="F350" s="77"/>
      <c r="G350" s="16" t="str">
        <f>VLOOKUP(B350,IF(A350="COMPOSICAO",S!$A:$D,I!$A:$D),3,FALSE)</f>
        <v>H</v>
      </c>
      <c r="H350" s="30">
        <v>1.125</v>
      </c>
      <c r="I350" s="17">
        <f>IF(A350="COMPOSICAO",VLOOKUP("TOTAL - "&amp;B350,COMPOSICAO_AUX_2!$A:$J,10,FALSE),VLOOKUP(B350,I!$A:$D,4,FALSE))</f>
        <v>19.649999999999999</v>
      </c>
      <c r="J350" s="80">
        <f t="shared" si="16"/>
        <v>22.1</v>
      </c>
      <c r="K350" s="81"/>
    </row>
    <row r="351" spans="1:13" ht="45" customHeight="1" x14ac:dyDescent="0.25">
      <c r="A351" s="16" t="s">
        <v>302</v>
      </c>
      <c r="B351" s="20">
        <v>92263</v>
      </c>
      <c r="C351" s="77" t="str">
        <f>VLOOKUP(B351,IF(A351="COMPOSICAO",S!$A:$D,I!$A:$D),2,FALSE)</f>
        <v>FABRICAÇÃO DE FÔRMA PARA PILARES E ESTRUTURAS SIMILARES, EM CHAPA DE MADEIRA COMPENSADA RESINADA, E = 17 MM. AF_09/2020</v>
      </c>
      <c r="D351" s="77"/>
      <c r="E351" s="77"/>
      <c r="F351" s="77"/>
      <c r="G351" s="16" t="str">
        <f>VLOOKUP(B351,IF(A351="COMPOSICAO",S!$A:$D,I!$A:$D),3,FALSE)</f>
        <v>M2</v>
      </c>
      <c r="H351" s="30">
        <v>0.52500000000000002</v>
      </c>
      <c r="I351" s="17">
        <f>IF(A351="COMPOSICAO",VLOOKUP("TOTAL - "&amp;B351,COMPOSICAO_AUX_2!$A:$J,10,FALSE),VLOOKUP(B351,I!$A:$D,4,FALSE))</f>
        <v>121.33</v>
      </c>
      <c r="J351" s="80">
        <f t="shared" si="16"/>
        <v>63.69</v>
      </c>
      <c r="K351" s="81"/>
    </row>
    <row r="352" spans="1:13" ht="15" customHeight="1" x14ac:dyDescent="0.25">
      <c r="A352" s="23" t="s">
        <v>577</v>
      </c>
      <c r="B352" s="24"/>
      <c r="C352" s="24"/>
      <c r="D352" s="24"/>
      <c r="E352" s="24"/>
      <c r="F352" s="24"/>
      <c r="G352" s="25"/>
      <c r="H352" s="26"/>
      <c r="I352" s="27"/>
      <c r="J352" s="80">
        <f>SUM(J343:K351)</f>
        <v>94.72999999999999</v>
      </c>
      <c r="K352" s="81"/>
    </row>
    <row r="353" spans="1:13" ht="15" customHeight="1" x14ac:dyDescent="0.25">
      <c r="A353" s="3"/>
      <c r="B353" s="3"/>
      <c r="C353" s="3"/>
      <c r="D353" s="3"/>
      <c r="E353" s="3"/>
      <c r="F353" s="3"/>
      <c r="G353" s="3"/>
      <c r="H353" s="3"/>
      <c r="I353" s="3"/>
      <c r="J353" s="3"/>
      <c r="K353" s="3"/>
    </row>
    <row r="354" spans="1:13" ht="15" customHeight="1" x14ac:dyDescent="0.25">
      <c r="A354" s="10" t="s">
        <v>295</v>
      </c>
      <c r="B354" s="10" t="s">
        <v>31</v>
      </c>
      <c r="C354" s="82" t="s">
        <v>7</v>
      </c>
      <c r="D354" s="83"/>
      <c r="E354" s="83"/>
      <c r="F354" s="83"/>
      <c r="G354" s="6" t="s">
        <v>32</v>
      </c>
      <c r="H354" s="6" t="s">
        <v>296</v>
      </c>
      <c r="I354" s="6" t="s">
        <v>297</v>
      </c>
      <c r="J354" s="57" t="s">
        <v>9</v>
      </c>
      <c r="K354" s="58"/>
    </row>
    <row r="355" spans="1:13" ht="60" customHeight="1" x14ac:dyDescent="0.25">
      <c r="A355" s="6" t="s">
        <v>363</v>
      </c>
      <c r="B355" s="28">
        <v>92427</v>
      </c>
      <c r="C355" s="91" t="str">
        <f>VLOOKUP(B355,S!$A:$D,2,FALSE)</f>
        <v>MONTAGEM E DESMONTAGEM DE FÔRMA DE PILARES RETANGULARES E ESTRUTURAS SIMILARES, PÉ-DIREITO SIMPLES, EM CHAPA DE MADEIRA COMPENSADA RESINADA, 8 UTILIZAÇÕES. AF_09/2020</v>
      </c>
      <c r="D355" s="91"/>
      <c r="E355" s="91"/>
      <c r="F355" s="92"/>
      <c r="G355" s="6" t="str">
        <f>VLOOKUP(B355,S!$A:$D,3,FALSE)</f>
        <v>M2</v>
      </c>
      <c r="H355" s="21"/>
      <c r="I355" s="21">
        <f>J364</f>
        <v>39.480000000000004</v>
      </c>
      <c r="J355" s="76"/>
      <c r="K355" s="72"/>
      <c r="L355" s="21">
        <f>VLOOKUP(B355,S!$A:$D,4,FALSE)</f>
        <v>39.479999999999997</v>
      </c>
      <c r="M355" s="6" t="str">
        <f>IF(ROUND((L355-I355),2)=0,"OK, confere com a tabela.",IF(ROUND((L355-I355),2)&lt;0,"ACIMA ("&amp;TEXT(ROUND(I355*100/L355,4),"0,0000")&amp;" %) da tabela.","ABAIXO ("&amp;TEXT(ROUND(I355*100/L355,4),"0,0000")&amp;" %) da tabela."))</f>
        <v>OK, confere com a tabela.</v>
      </c>
    </row>
    <row r="356" spans="1:13" ht="30" customHeight="1" x14ac:dyDescent="0.25">
      <c r="A356" s="16" t="s">
        <v>306</v>
      </c>
      <c r="B356" s="20">
        <v>2692</v>
      </c>
      <c r="C356" s="77" t="str">
        <f>VLOOKUP(B356,IF(A356="COMPOSICAO",S!$A:$D,I!$A:$D),2,FALSE)</f>
        <v>DESMOLDANTE PROTETOR PARA FORMAS DE MADEIRA, DE BASE OLEOSA EMULSIONADA EM AGUA</v>
      </c>
      <c r="D356" s="77"/>
      <c r="E356" s="77"/>
      <c r="F356" s="77"/>
      <c r="G356" s="16" t="str">
        <f>VLOOKUP(B356,IF(A356="COMPOSICAO",S!$A:$D,I!$A:$D),3,FALSE)</f>
        <v>L</v>
      </c>
      <c r="H356" s="17">
        <v>0.01</v>
      </c>
      <c r="I356" s="17">
        <f>IF(A356="COMPOSICAO",VLOOKUP("TOTAL - "&amp;B356,COMPOSICAO_AUX_2!$A:$J,10,FALSE),VLOOKUP(B356,I!$A:$D,4,FALSE))</f>
        <v>6.94</v>
      </c>
      <c r="J356" s="80">
        <f t="shared" ref="J356:J363" si="17">TRUNC(H356*I356,2)</f>
        <v>0.06</v>
      </c>
      <c r="K356" s="81"/>
    </row>
    <row r="357" spans="1:13" ht="45" customHeight="1" x14ac:dyDescent="0.25">
      <c r="A357" s="16" t="s">
        <v>306</v>
      </c>
      <c r="B357" s="20">
        <v>40271</v>
      </c>
      <c r="C357" s="77" t="str">
        <f>VLOOKUP(B357,IF(A357="COMPOSICAO",S!$A:$D,I!$A:$D),2,FALSE)</f>
        <v>LOCACAO DE APRUMADOR METALICO DE PILAR, COM ALTURA E ANGULO REGULAVEIS, EXTENSAO DE *1,50* A *2,80* M</v>
      </c>
      <c r="D357" s="77"/>
      <c r="E357" s="77"/>
      <c r="F357" s="77"/>
      <c r="G357" s="16" t="str">
        <f>VLOOKUP(B357,IF(A357="COMPOSICAO",S!$A:$D,I!$A:$D),3,FALSE)</f>
        <v>MES</v>
      </c>
      <c r="H357" s="30">
        <v>0.19600000000000001</v>
      </c>
      <c r="I357" s="17">
        <f>IF(A357="COMPOSICAO",VLOOKUP("TOTAL - "&amp;B357,COMPOSICAO_AUX_2!$A:$J,10,FALSE),VLOOKUP(B357,I!$A:$D,4,FALSE))</f>
        <v>4.58</v>
      </c>
      <c r="J357" s="80">
        <f t="shared" si="17"/>
        <v>0.89</v>
      </c>
      <c r="K357" s="81"/>
    </row>
    <row r="358" spans="1:13" ht="45" customHeight="1" x14ac:dyDescent="0.25">
      <c r="A358" s="16" t="s">
        <v>306</v>
      </c>
      <c r="B358" s="20">
        <v>40275</v>
      </c>
      <c r="C358" s="77" t="str">
        <f>VLOOKUP(B358,IF(A358="COMPOSICAO",S!$A:$D,I!$A:$D),2,FALSE)</f>
        <v>LOCACAO DE VIGA SANDUICHE METALICA VAZADA PARA TRAVAMENTO DE PILARES, ALTURA DE *8* CM, LARGURA DE *6* CM E EXTENSAO DE 2 M</v>
      </c>
      <c r="D358" s="77"/>
      <c r="E358" s="77"/>
      <c r="F358" s="77"/>
      <c r="G358" s="16" t="str">
        <f>VLOOKUP(B358,IF(A358="COMPOSICAO",S!$A:$D,I!$A:$D),3,FALSE)</f>
        <v>MES</v>
      </c>
      <c r="H358" s="30">
        <v>0.39300000000000002</v>
      </c>
      <c r="I358" s="17">
        <f>IF(A358="COMPOSICAO",VLOOKUP("TOTAL - "&amp;B358,COMPOSICAO_AUX_2!$A:$J,10,FALSE),VLOOKUP(B358,I!$A:$D,4,FALSE))</f>
        <v>7.05</v>
      </c>
      <c r="J358" s="80">
        <f t="shared" si="17"/>
        <v>2.77</v>
      </c>
      <c r="K358" s="81"/>
    </row>
    <row r="359" spans="1:13" ht="45" customHeight="1" x14ac:dyDescent="0.25">
      <c r="A359" s="16" t="s">
        <v>306</v>
      </c>
      <c r="B359" s="20">
        <v>40287</v>
      </c>
      <c r="C359" s="77" t="str">
        <f>VLOOKUP(B359,IF(A359="COMPOSICAO",S!$A:$D,I!$A:$D),2,FALSE)</f>
        <v>LOCACAO DE BARRA DE ANCORAGEM DE 0,80 A 1,20 M DE EXTENSAO, COM ROSCA DE 5/8", INCLUINDO PORCA E FLANGE</v>
      </c>
      <c r="D359" s="77"/>
      <c r="E359" s="77"/>
      <c r="F359" s="77"/>
      <c r="G359" s="16" t="str">
        <f>VLOOKUP(B359,IF(A359="COMPOSICAO",S!$A:$D,I!$A:$D),3,FALSE)</f>
        <v>MES</v>
      </c>
      <c r="H359" s="30">
        <v>0.78500000000000003</v>
      </c>
      <c r="I359" s="17">
        <f>IF(A359="COMPOSICAO",VLOOKUP("TOTAL - "&amp;B359,COMPOSICAO_AUX_2!$A:$J,10,FALSE),VLOOKUP(B359,I!$A:$D,4,FALSE))</f>
        <v>1.76</v>
      </c>
      <c r="J359" s="80">
        <f t="shared" si="17"/>
        <v>1.38</v>
      </c>
      <c r="K359" s="81"/>
    </row>
    <row r="360" spans="1:13" ht="30" customHeight="1" x14ac:dyDescent="0.25">
      <c r="A360" s="16" t="s">
        <v>306</v>
      </c>
      <c r="B360" s="20">
        <v>40304</v>
      </c>
      <c r="C360" s="77" t="str">
        <f>VLOOKUP(B360,IF(A360="COMPOSICAO",S!$A:$D,I!$A:$D),2,FALSE)</f>
        <v>PREGO DE ACO POLIDO COM CABECA DUPLA 17 X 27 (2 1/2 X 11)</v>
      </c>
      <c r="D360" s="77"/>
      <c r="E360" s="77"/>
      <c r="F360" s="77"/>
      <c r="G360" s="16" t="str">
        <f>VLOOKUP(B360,IF(A360="COMPOSICAO",S!$A:$D,I!$A:$D),3,FALSE)</f>
        <v>KG</v>
      </c>
      <c r="H360" s="30">
        <v>1.9E-2</v>
      </c>
      <c r="I360" s="17">
        <f>IF(A360="COMPOSICAO",VLOOKUP("TOTAL - "&amp;B360,COMPOSICAO_AUX_2!$A:$J,10,FALSE),VLOOKUP(B360,I!$A:$D,4,FALSE))</f>
        <v>23.85</v>
      </c>
      <c r="J360" s="80">
        <f t="shared" si="17"/>
        <v>0.45</v>
      </c>
      <c r="K360" s="81"/>
    </row>
    <row r="361" spans="1:13" ht="30" customHeight="1" x14ac:dyDescent="0.25">
      <c r="A361" s="16" t="s">
        <v>302</v>
      </c>
      <c r="B361" s="20">
        <v>88239</v>
      </c>
      <c r="C361" s="77" t="str">
        <f>VLOOKUP(B361,IF(A361="COMPOSICAO",S!$A:$D,I!$A:$D),2,FALSE)</f>
        <v>AJUDANTE DE CARPINTEIRO COM ENCARGOS COMPLEMENTARES</v>
      </c>
      <c r="D361" s="77"/>
      <c r="E361" s="77"/>
      <c r="F361" s="77"/>
      <c r="G361" s="16" t="str">
        <f>VLOOKUP(B361,IF(A361="COMPOSICAO",S!$A:$D,I!$A:$D),3,FALSE)</f>
        <v>H</v>
      </c>
      <c r="H361" s="30">
        <v>0.127</v>
      </c>
      <c r="I361" s="17">
        <f>IF(A361="COMPOSICAO",VLOOKUP("TOTAL - "&amp;B361,COMPOSICAO_AUX_2!$A:$J,10,FALSE),VLOOKUP(B361,I!$A:$D,4,FALSE))</f>
        <v>16.470000000000002</v>
      </c>
      <c r="J361" s="80">
        <f t="shared" si="17"/>
        <v>2.09</v>
      </c>
      <c r="K361" s="81"/>
    </row>
    <row r="362" spans="1:13" ht="30" customHeight="1" x14ac:dyDescent="0.25">
      <c r="A362" s="16" t="s">
        <v>302</v>
      </c>
      <c r="B362" s="20">
        <v>88262</v>
      </c>
      <c r="C362" s="77" t="str">
        <f>VLOOKUP(B362,IF(A362="COMPOSICAO",S!$A:$D,I!$A:$D),2,FALSE)</f>
        <v>CARPINTEIRO DE FORMAS COM ENCARGOS COMPLEMENTARES</v>
      </c>
      <c r="D362" s="77"/>
      <c r="E362" s="77"/>
      <c r="F362" s="77"/>
      <c r="G362" s="16" t="str">
        <f>VLOOKUP(B362,IF(A362="COMPOSICAO",S!$A:$D,I!$A:$D),3,FALSE)</f>
        <v>H</v>
      </c>
      <c r="H362" s="30">
        <v>0.69499999999999995</v>
      </c>
      <c r="I362" s="17">
        <f>IF(A362="COMPOSICAO",VLOOKUP("TOTAL - "&amp;B362,COMPOSICAO_AUX_2!$A:$J,10,FALSE),VLOOKUP(B362,I!$A:$D,4,FALSE))</f>
        <v>19.649999999999999</v>
      </c>
      <c r="J362" s="80">
        <f t="shared" si="17"/>
        <v>13.65</v>
      </c>
      <c r="K362" s="81"/>
    </row>
    <row r="363" spans="1:13" ht="45" customHeight="1" x14ac:dyDescent="0.25">
      <c r="A363" s="16" t="s">
        <v>302</v>
      </c>
      <c r="B363" s="20">
        <v>92263</v>
      </c>
      <c r="C363" s="77" t="str">
        <f>VLOOKUP(B363,IF(A363="COMPOSICAO",S!$A:$D,I!$A:$D),2,FALSE)</f>
        <v>FABRICAÇÃO DE FÔRMA PARA PILARES E ESTRUTURAS SIMILARES, EM CHAPA DE MADEIRA COMPENSADA RESINADA, E = 17 MM. AF_09/2020</v>
      </c>
      <c r="D363" s="77"/>
      <c r="E363" s="77"/>
      <c r="F363" s="77"/>
      <c r="G363" s="16" t="str">
        <f>VLOOKUP(B363,IF(A363="COMPOSICAO",S!$A:$D,I!$A:$D),3,FALSE)</f>
        <v>M2</v>
      </c>
      <c r="H363" s="17">
        <v>0.15</v>
      </c>
      <c r="I363" s="17">
        <f>IF(A363="COMPOSICAO",VLOOKUP("TOTAL - "&amp;B363,COMPOSICAO_AUX_2!$A:$J,10,FALSE),VLOOKUP(B363,I!$A:$D,4,FALSE))</f>
        <v>121.33</v>
      </c>
      <c r="J363" s="80">
        <f t="shared" si="17"/>
        <v>18.190000000000001</v>
      </c>
      <c r="K363" s="81"/>
    </row>
    <row r="364" spans="1:13" ht="15" customHeight="1" x14ac:dyDescent="0.25">
      <c r="A364" s="23" t="s">
        <v>578</v>
      </c>
      <c r="B364" s="24"/>
      <c r="C364" s="24"/>
      <c r="D364" s="24"/>
      <c r="E364" s="24"/>
      <c r="F364" s="24"/>
      <c r="G364" s="25"/>
      <c r="H364" s="26"/>
      <c r="I364" s="27"/>
      <c r="J364" s="80">
        <f>SUM(J355:K363)</f>
        <v>39.480000000000004</v>
      </c>
      <c r="K364" s="81"/>
    </row>
    <row r="365" spans="1:13" ht="15" customHeight="1" x14ac:dyDescent="0.25">
      <c r="A365" s="3"/>
      <c r="B365" s="3"/>
      <c r="C365" s="3"/>
      <c r="D365" s="3"/>
      <c r="E365" s="3"/>
      <c r="F365" s="3"/>
      <c r="G365" s="3"/>
      <c r="H365" s="3"/>
      <c r="I365" s="3"/>
      <c r="J365" s="3"/>
      <c r="K365" s="3"/>
    </row>
    <row r="366" spans="1:13" ht="15" customHeight="1" x14ac:dyDescent="0.25">
      <c r="A366" s="10" t="s">
        <v>295</v>
      </c>
      <c r="B366" s="10" t="s">
        <v>31</v>
      </c>
      <c r="C366" s="82" t="s">
        <v>7</v>
      </c>
      <c r="D366" s="83"/>
      <c r="E366" s="83"/>
      <c r="F366" s="83"/>
      <c r="G366" s="6" t="s">
        <v>32</v>
      </c>
      <c r="H366" s="6" t="s">
        <v>296</v>
      </c>
      <c r="I366" s="6" t="s">
        <v>297</v>
      </c>
      <c r="J366" s="57" t="s">
        <v>9</v>
      </c>
      <c r="K366" s="58"/>
    </row>
    <row r="367" spans="1:13" ht="60" customHeight="1" x14ac:dyDescent="0.25">
      <c r="A367" s="6" t="s">
        <v>363</v>
      </c>
      <c r="B367" s="28">
        <v>92451</v>
      </c>
      <c r="C367" s="91" t="str">
        <f>VLOOKUP(B367,S!$A:$D,2,FALSE)</f>
        <v>MONTAGEM E DESMONTAGEM DE FÔRMA DE VIGA, ESCORAMENTO COM GARFO DE MADEIRA, PÉ-DIREITO SIMPLES, EM CHAPA DE MADEIRA RESINADA, 2 UTILIZAÇÕES. AF_09/2020</v>
      </c>
      <c r="D367" s="91"/>
      <c r="E367" s="91"/>
      <c r="F367" s="92"/>
      <c r="G367" s="6" t="str">
        <f>VLOOKUP(B367,S!$A:$D,3,FALSE)</f>
        <v>M2</v>
      </c>
      <c r="H367" s="21"/>
      <c r="I367" s="21">
        <f>J375</f>
        <v>140.72</v>
      </c>
      <c r="J367" s="76"/>
      <c r="K367" s="72"/>
      <c r="L367" s="21">
        <f>VLOOKUP(B367,S!$A:$D,4,FALSE)</f>
        <v>140.72</v>
      </c>
      <c r="M367" s="6" t="str">
        <f>IF(ROUND((L367-I367),2)=0,"OK, confere com a tabela.",IF(ROUND((L367-I367),2)&lt;0,"ACIMA ("&amp;TEXT(ROUND(I367*100/L367,4),"0,0000")&amp;" %) da tabela.","ABAIXO ("&amp;TEXT(ROUND(I367*100/L367,4),"0,0000")&amp;" %) da tabela."))</f>
        <v>OK, confere com a tabela.</v>
      </c>
    </row>
    <row r="368" spans="1:13" ht="30" customHeight="1" x14ac:dyDescent="0.25">
      <c r="A368" s="16" t="s">
        <v>306</v>
      </c>
      <c r="B368" s="20">
        <v>2692</v>
      </c>
      <c r="C368" s="77" t="str">
        <f>VLOOKUP(B368,IF(A368="COMPOSICAO",S!$A:$D,I!$A:$D),2,FALSE)</f>
        <v>DESMOLDANTE PROTETOR PARA FORMAS DE MADEIRA, DE BASE OLEOSA EMULSIONADA EM AGUA</v>
      </c>
      <c r="D368" s="77"/>
      <c r="E368" s="77"/>
      <c r="F368" s="77"/>
      <c r="G368" s="16" t="str">
        <f>VLOOKUP(B368,IF(A368="COMPOSICAO",S!$A:$D,I!$A:$D),3,FALSE)</f>
        <v>L</v>
      </c>
      <c r="H368" s="17">
        <v>0.01</v>
      </c>
      <c r="I368" s="17">
        <f>IF(A368="COMPOSICAO",VLOOKUP("TOTAL - "&amp;B368,COMPOSICAO_AUX_2!$A:$J,10,FALSE),VLOOKUP(B368,I!$A:$D,4,FALSE))</f>
        <v>6.94</v>
      </c>
      <c r="J368" s="80">
        <f t="shared" ref="J368:J374" si="18">TRUNC(H368*I368,2)</f>
        <v>0.06</v>
      </c>
      <c r="K368" s="81"/>
    </row>
    <row r="369" spans="1:13" ht="45" customHeight="1" x14ac:dyDescent="0.25">
      <c r="A369" s="16" t="s">
        <v>306</v>
      </c>
      <c r="B369" s="20">
        <v>6193</v>
      </c>
      <c r="C369" s="77" t="str">
        <f>VLOOKUP(B369,IF(A369="COMPOSICAO",S!$A:$D,I!$A:$D),2,FALSE)</f>
        <v>TABUA  NAO  APARELHADA  *2,5 X 20* CM, EM MACARANDUBA, ANGELIM OU EQUIVALENTE DA REGIAO - BRUTA</v>
      </c>
      <c r="D369" s="77"/>
      <c r="E369" s="77"/>
      <c r="F369" s="77"/>
      <c r="G369" s="16" t="str">
        <f>VLOOKUP(B369,IF(A369="COMPOSICAO",S!$A:$D,I!$A:$D),3,FALSE)</f>
        <v>M</v>
      </c>
      <c r="H369" s="30">
        <v>0.47399999999999998</v>
      </c>
      <c r="I369" s="17">
        <f>IF(A369="COMPOSICAO",VLOOKUP("TOTAL - "&amp;B369,COMPOSICAO_AUX_2!$A:$J,10,FALSE),VLOOKUP(B369,I!$A:$D,4,FALSE))</f>
        <v>13.42</v>
      </c>
      <c r="J369" s="80">
        <f t="shared" si="18"/>
        <v>6.36</v>
      </c>
      <c r="K369" s="81"/>
    </row>
    <row r="370" spans="1:13" ht="30" customHeight="1" x14ac:dyDescent="0.25">
      <c r="A370" s="16" t="s">
        <v>306</v>
      </c>
      <c r="B370" s="20">
        <v>40304</v>
      </c>
      <c r="C370" s="77" t="str">
        <f>VLOOKUP(B370,IF(A370="COMPOSICAO",S!$A:$D,I!$A:$D),2,FALSE)</f>
        <v>PREGO DE ACO POLIDO COM CABECA DUPLA 17 X 27 (2 1/2 X 11)</v>
      </c>
      <c r="D370" s="77"/>
      <c r="E370" s="77"/>
      <c r="F370" s="77"/>
      <c r="G370" s="16" t="str">
        <f>VLOOKUP(B370,IF(A370="COMPOSICAO",S!$A:$D,I!$A:$D),3,FALSE)</f>
        <v>KG</v>
      </c>
      <c r="H370" s="30">
        <v>4.9000000000000002E-2</v>
      </c>
      <c r="I370" s="17">
        <f>IF(A370="COMPOSICAO",VLOOKUP("TOTAL - "&amp;B370,COMPOSICAO_AUX_2!$A:$J,10,FALSE),VLOOKUP(B370,I!$A:$D,4,FALSE))</f>
        <v>23.85</v>
      </c>
      <c r="J370" s="80">
        <f t="shared" si="18"/>
        <v>1.1599999999999999</v>
      </c>
      <c r="K370" s="81"/>
    </row>
    <row r="371" spans="1:13" ht="30" customHeight="1" x14ac:dyDescent="0.25">
      <c r="A371" s="16" t="s">
        <v>302</v>
      </c>
      <c r="B371" s="20">
        <v>88239</v>
      </c>
      <c r="C371" s="77" t="str">
        <f>VLOOKUP(B371,IF(A371="COMPOSICAO",S!$A:$D,I!$A:$D),2,FALSE)</f>
        <v>AJUDANTE DE CARPINTEIRO COM ENCARGOS COMPLEMENTARES</v>
      </c>
      <c r="D371" s="77"/>
      <c r="E371" s="77"/>
      <c r="F371" s="77"/>
      <c r="G371" s="16" t="str">
        <f>VLOOKUP(B371,IF(A371="COMPOSICAO",S!$A:$D,I!$A:$D),3,FALSE)</f>
        <v>H</v>
      </c>
      <c r="H371" s="30">
        <v>0.20499999999999999</v>
      </c>
      <c r="I371" s="17">
        <f>IF(A371="COMPOSICAO",VLOOKUP("TOTAL - "&amp;B371,COMPOSICAO_AUX_2!$A:$J,10,FALSE),VLOOKUP(B371,I!$A:$D,4,FALSE))</f>
        <v>16.470000000000002</v>
      </c>
      <c r="J371" s="80">
        <f t="shared" si="18"/>
        <v>3.37</v>
      </c>
      <c r="K371" s="81"/>
    </row>
    <row r="372" spans="1:13" ht="30" customHeight="1" x14ac:dyDescent="0.25">
      <c r="A372" s="16" t="s">
        <v>302</v>
      </c>
      <c r="B372" s="20">
        <v>88262</v>
      </c>
      <c r="C372" s="77" t="str">
        <f>VLOOKUP(B372,IF(A372="COMPOSICAO",S!$A:$D,I!$A:$D),2,FALSE)</f>
        <v>CARPINTEIRO DE FORMAS COM ENCARGOS COMPLEMENTARES</v>
      </c>
      <c r="D372" s="77"/>
      <c r="E372" s="77"/>
      <c r="F372" s="77"/>
      <c r="G372" s="16" t="str">
        <f>VLOOKUP(B372,IF(A372="COMPOSICAO",S!$A:$D,I!$A:$D),3,FALSE)</f>
        <v>H</v>
      </c>
      <c r="H372" s="17">
        <v>1.1200000000000001</v>
      </c>
      <c r="I372" s="17">
        <f>IF(A372="COMPOSICAO",VLOOKUP("TOTAL - "&amp;B372,COMPOSICAO_AUX_2!$A:$J,10,FALSE),VLOOKUP(B372,I!$A:$D,4,FALSE))</f>
        <v>19.649999999999999</v>
      </c>
      <c r="J372" s="80">
        <f t="shared" si="18"/>
        <v>22</v>
      </c>
      <c r="K372" s="81"/>
    </row>
    <row r="373" spans="1:13" ht="45" customHeight="1" x14ac:dyDescent="0.25">
      <c r="A373" s="16" t="s">
        <v>302</v>
      </c>
      <c r="B373" s="20">
        <v>92265</v>
      </c>
      <c r="C373" s="77" t="str">
        <f>VLOOKUP(B373,IF(A373="COMPOSICAO",S!$A:$D,I!$A:$D),2,FALSE)</f>
        <v>FABRICAÇÃO DE FÔRMA PARA VIGAS, EM CHAPA DE MADEIRA COMPENSADA RESINADA, E = 17 MM. AF_09/2020</v>
      </c>
      <c r="D373" s="77"/>
      <c r="E373" s="77"/>
      <c r="F373" s="77"/>
      <c r="G373" s="16" t="str">
        <f>VLOOKUP(B373,IF(A373="COMPOSICAO",S!$A:$D,I!$A:$D),3,FALSE)</f>
        <v>M2</v>
      </c>
      <c r="H373" s="30">
        <v>0.621</v>
      </c>
      <c r="I373" s="17">
        <f>IF(A373="COMPOSICAO",VLOOKUP("TOTAL - "&amp;B373,COMPOSICAO_AUX_2!$A:$J,10,FALSE),VLOOKUP(B373,I!$A:$D,4,FALSE))</f>
        <v>87.669999999999987</v>
      </c>
      <c r="J373" s="80">
        <f t="shared" si="18"/>
        <v>54.44</v>
      </c>
      <c r="K373" s="81"/>
    </row>
    <row r="374" spans="1:13" ht="30" customHeight="1" x14ac:dyDescent="0.25">
      <c r="A374" s="16" t="s">
        <v>302</v>
      </c>
      <c r="B374" s="20">
        <v>92272</v>
      </c>
      <c r="C374" s="77" t="str">
        <f>VLOOKUP(B374,IF(A374="COMPOSICAO",S!$A:$D,I!$A:$D),2,FALSE)</f>
        <v>FABRICAÇÃO DE ESCORAS DE VIGA DO TIPO GARFO, EM MADEIRA. AF_09/2020</v>
      </c>
      <c r="D374" s="77"/>
      <c r="E374" s="77"/>
      <c r="F374" s="77"/>
      <c r="G374" s="16" t="str">
        <f>VLOOKUP(B374,IF(A374="COMPOSICAO",S!$A:$D,I!$A:$D),3,FALSE)</f>
        <v>M</v>
      </c>
      <c r="H374" s="30">
        <v>1.8160000000000001</v>
      </c>
      <c r="I374" s="17">
        <f>IF(A374="COMPOSICAO",VLOOKUP("TOTAL - "&amp;B374,COMPOSICAO_AUX_2!$A:$J,10,FALSE),VLOOKUP(B374,I!$A:$D,4,FALSE))</f>
        <v>29.37</v>
      </c>
      <c r="J374" s="80">
        <f t="shared" si="18"/>
        <v>53.33</v>
      </c>
      <c r="K374" s="81"/>
    </row>
    <row r="375" spans="1:13" ht="15" customHeight="1" x14ac:dyDescent="0.25">
      <c r="A375" s="23" t="s">
        <v>579</v>
      </c>
      <c r="B375" s="24"/>
      <c r="C375" s="24"/>
      <c r="D375" s="24"/>
      <c r="E375" s="24"/>
      <c r="F375" s="24"/>
      <c r="G375" s="25"/>
      <c r="H375" s="26"/>
      <c r="I375" s="27"/>
      <c r="J375" s="80">
        <f>SUM(J367:K374)</f>
        <v>140.72</v>
      </c>
      <c r="K375" s="81"/>
    </row>
    <row r="376" spans="1:13" ht="15" customHeight="1" x14ac:dyDescent="0.25">
      <c r="A376" s="3"/>
      <c r="B376" s="3"/>
      <c r="C376" s="3"/>
      <c r="D376" s="3"/>
      <c r="E376" s="3"/>
      <c r="F376" s="3"/>
      <c r="G376" s="3"/>
      <c r="H376" s="3"/>
      <c r="I376" s="3"/>
      <c r="J376" s="3"/>
      <c r="K376" s="3"/>
    </row>
    <row r="377" spans="1:13" ht="15" customHeight="1" x14ac:dyDescent="0.25">
      <c r="A377" s="10" t="s">
        <v>295</v>
      </c>
      <c r="B377" s="10" t="s">
        <v>31</v>
      </c>
      <c r="C377" s="82" t="s">
        <v>7</v>
      </c>
      <c r="D377" s="83"/>
      <c r="E377" s="83"/>
      <c r="F377" s="83"/>
      <c r="G377" s="6" t="s">
        <v>32</v>
      </c>
      <c r="H377" s="6" t="s">
        <v>296</v>
      </c>
      <c r="I377" s="6" t="s">
        <v>297</v>
      </c>
      <c r="J377" s="57" t="s">
        <v>9</v>
      </c>
      <c r="K377" s="58"/>
    </row>
    <row r="378" spans="1:13" ht="60" customHeight="1" x14ac:dyDescent="0.25">
      <c r="A378" s="6" t="s">
        <v>363</v>
      </c>
      <c r="B378" s="28">
        <v>92463</v>
      </c>
      <c r="C378" s="91" t="str">
        <f>VLOOKUP(B378,S!$A:$D,2,FALSE)</f>
        <v>MONTAGEM E DESMONTAGEM DE FÔRMA DE VIGA, ESCORAMENTO COM GARFO DE MADEIRA, PÉ-DIREITO SIMPLES, EM CHAPA DE MADEIRA RESINADA, 8 UTILIZAÇÕES. AF_09/2020</v>
      </c>
      <c r="D378" s="91"/>
      <c r="E378" s="91"/>
      <c r="F378" s="92"/>
      <c r="G378" s="6" t="str">
        <f>VLOOKUP(B378,S!$A:$D,3,FALSE)</f>
        <v>M2</v>
      </c>
      <c r="H378" s="21"/>
      <c r="I378" s="21">
        <f>J386</f>
        <v>89.860000000000014</v>
      </c>
      <c r="J378" s="76"/>
      <c r="K378" s="72"/>
      <c r="L378" s="21">
        <f>VLOOKUP(B378,S!$A:$D,4,FALSE)</f>
        <v>89.86</v>
      </c>
      <c r="M378" s="6" t="str">
        <f>IF(ROUND((L378-I378),2)=0,"OK, confere com a tabela.",IF(ROUND((L378-I378),2)&lt;0,"ACIMA ("&amp;TEXT(ROUND(I378*100/L378,4),"0,0000")&amp;" %) da tabela.","ABAIXO ("&amp;TEXT(ROUND(I378*100/L378,4),"0,0000")&amp;" %) da tabela."))</f>
        <v>OK, confere com a tabela.</v>
      </c>
    </row>
    <row r="379" spans="1:13" ht="30" customHeight="1" x14ac:dyDescent="0.25">
      <c r="A379" s="16" t="s">
        <v>306</v>
      </c>
      <c r="B379" s="20">
        <v>2692</v>
      </c>
      <c r="C379" s="77" t="str">
        <f>VLOOKUP(B379,IF(A379="COMPOSICAO",S!$A:$D,I!$A:$D),2,FALSE)</f>
        <v>DESMOLDANTE PROTETOR PARA FORMAS DE MADEIRA, DE BASE OLEOSA EMULSIONADA EM AGUA</v>
      </c>
      <c r="D379" s="77"/>
      <c r="E379" s="77"/>
      <c r="F379" s="77"/>
      <c r="G379" s="16" t="str">
        <f>VLOOKUP(B379,IF(A379="COMPOSICAO",S!$A:$D,I!$A:$D),3,FALSE)</f>
        <v>L</v>
      </c>
      <c r="H379" s="17">
        <v>0.01</v>
      </c>
      <c r="I379" s="17">
        <f>IF(A379="COMPOSICAO",VLOOKUP("TOTAL - "&amp;B379,COMPOSICAO_AUX_2!$A:$J,10,FALSE),VLOOKUP(B379,I!$A:$D,4,FALSE))</f>
        <v>6.94</v>
      </c>
      <c r="J379" s="80">
        <f t="shared" ref="J379:J385" si="19">TRUNC(H379*I379,2)</f>
        <v>0.06</v>
      </c>
      <c r="K379" s="81"/>
    </row>
    <row r="380" spans="1:13" ht="45" customHeight="1" x14ac:dyDescent="0.25">
      <c r="A380" s="16" t="s">
        <v>306</v>
      </c>
      <c r="B380" s="20">
        <v>6193</v>
      </c>
      <c r="C380" s="77" t="str">
        <f>VLOOKUP(B380,IF(A380="COMPOSICAO",S!$A:$D,I!$A:$D),2,FALSE)</f>
        <v>TABUA  NAO  APARELHADA  *2,5 X 20* CM, EM MACARANDUBA, ANGELIM OU EQUIVALENTE DA REGIAO - BRUTA</v>
      </c>
      <c r="D380" s="77"/>
      <c r="E380" s="77"/>
      <c r="F380" s="77"/>
      <c r="G380" s="16" t="str">
        <f>VLOOKUP(B380,IF(A380="COMPOSICAO",S!$A:$D,I!$A:$D),3,FALSE)</f>
        <v>M</v>
      </c>
      <c r="H380" s="30">
        <v>0.32800000000000001</v>
      </c>
      <c r="I380" s="17">
        <f>IF(A380="COMPOSICAO",VLOOKUP("TOTAL - "&amp;B380,COMPOSICAO_AUX_2!$A:$J,10,FALSE),VLOOKUP(B380,I!$A:$D,4,FALSE))</f>
        <v>13.42</v>
      </c>
      <c r="J380" s="80">
        <f t="shared" si="19"/>
        <v>4.4000000000000004</v>
      </c>
      <c r="K380" s="81"/>
    </row>
    <row r="381" spans="1:13" ht="30" customHeight="1" x14ac:dyDescent="0.25">
      <c r="A381" s="16" t="s">
        <v>306</v>
      </c>
      <c r="B381" s="20">
        <v>40304</v>
      </c>
      <c r="C381" s="77" t="str">
        <f>VLOOKUP(B381,IF(A381="COMPOSICAO",S!$A:$D,I!$A:$D),2,FALSE)</f>
        <v>PREGO DE ACO POLIDO COM CABECA DUPLA 17 X 27 (2 1/2 X 11)</v>
      </c>
      <c r="D381" s="77"/>
      <c r="E381" s="77"/>
      <c r="F381" s="77"/>
      <c r="G381" s="16" t="str">
        <f>VLOOKUP(B381,IF(A381="COMPOSICAO",S!$A:$D,I!$A:$D),3,FALSE)</f>
        <v>KG</v>
      </c>
      <c r="H381" s="30">
        <v>4.9000000000000002E-2</v>
      </c>
      <c r="I381" s="17">
        <f>IF(A381="COMPOSICAO",VLOOKUP("TOTAL - "&amp;B381,COMPOSICAO_AUX_2!$A:$J,10,FALSE),VLOOKUP(B381,I!$A:$D,4,FALSE))</f>
        <v>23.85</v>
      </c>
      <c r="J381" s="80">
        <f t="shared" si="19"/>
        <v>1.1599999999999999</v>
      </c>
      <c r="K381" s="81"/>
    </row>
    <row r="382" spans="1:13" ht="30" customHeight="1" x14ac:dyDescent="0.25">
      <c r="A382" s="16" t="s">
        <v>302</v>
      </c>
      <c r="B382" s="20">
        <v>88239</v>
      </c>
      <c r="C382" s="77" t="str">
        <f>VLOOKUP(B382,IF(A382="COMPOSICAO",S!$A:$D,I!$A:$D),2,FALSE)</f>
        <v>AJUDANTE DE CARPINTEIRO COM ENCARGOS COMPLEMENTARES</v>
      </c>
      <c r="D382" s="77"/>
      <c r="E382" s="77"/>
      <c r="F382" s="77"/>
      <c r="G382" s="16" t="str">
        <f>VLOOKUP(B382,IF(A382="COMPOSICAO",S!$A:$D,I!$A:$D),3,FALSE)</f>
        <v>H</v>
      </c>
      <c r="H382" s="30">
        <v>0.16200000000000001</v>
      </c>
      <c r="I382" s="17">
        <f>IF(A382="COMPOSICAO",VLOOKUP("TOTAL - "&amp;B382,COMPOSICAO_AUX_2!$A:$J,10,FALSE),VLOOKUP(B382,I!$A:$D,4,FALSE))</f>
        <v>16.470000000000002</v>
      </c>
      <c r="J382" s="80">
        <f t="shared" si="19"/>
        <v>2.66</v>
      </c>
      <c r="K382" s="81"/>
    </row>
    <row r="383" spans="1:13" ht="30" customHeight="1" x14ac:dyDescent="0.25">
      <c r="A383" s="16" t="s">
        <v>302</v>
      </c>
      <c r="B383" s="20">
        <v>88262</v>
      </c>
      <c r="C383" s="77" t="str">
        <f>VLOOKUP(B383,IF(A383="COMPOSICAO",S!$A:$D,I!$A:$D),2,FALSE)</f>
        <v>CARPINTEIRO DE FORMAS COM ENCARGOS COMPLEMENTARES</v>
      </c>
      <c r="D383" s="77"/>
      <c r="E383" s="77"/>
      <c r="F383" s="77"/>
      <c r="G383" s="16" t="str">
        <f>VLOOKUP(B383,IF(A383="COMPOSICAO",S!$A:$D,I!$A:$D),3,FALSE)</f>
        <v>H</v>
      </c>
      <c r="H383" s="30">
        <v>0.88400000000000001</v>
      </c>
      <c r="I383" s="17">
        <f>IF(A383="COMPOSICAO",VLOOKUP("TOTAL - "&amp;B383,COMPOSICAO_AUX_2!$A:$J,10,FALSE),VLOOKUP(B383,I!$A:$D,4,FALSE))</f>
        <v>19.649999999999999</v>
      </c>
      <c r="J383" s="80">
        <f t="shared" si="19"/>
        <v>17.37</v>
      </c>
      <c r="K383" s="81"/>
    </row>
    <row r="384" spans="1:13" ht="45" customHeight="1" x14ac:dyDescent="0.25">
      <c r="A384" s="16" t="s">
        <v>302</v>
      </c>
      <c r="B384" s="20">
        <v>92265</v>
      </c>
      <c r="C384" s="77" t="str">
        <f>VLOOKUP(B384,IF(A384="COMPOSICAO",S!$A:$D,I!$A:$D),2,FALSE)</f>
        <v>FABRICAÇÃO DE FÔRMA PARA VIGAS, EM CHAPA DE MADEIRA COMPENSADA RESINADA, E = 17 MM. AF_09/2020</v>
      </c>
      <c r="D384" s="77"/>
      <c r="E384" s="77"/>
      <c r="F384" s="77"/>
      <c r="G384" s="16" t="str">
        <f>VLOOKUP(B384,IF(A384="COMPOSICAO",S!$A:$D,I!$A:$D),3,FALSE)</f>
        <v>M2</v>
      </c>
      <c r="H384" s="30">
        <v>0.23599999999999999</v>
      </c>
      <c r="I384" s="17">
        <f>IF(A384="COMPOSICAO",VLOOKUP("TOTAL - "&amp;B384,COMPOSICAO_AUX_2!$A:$J,10,FALSE),VLOOKUP(B384,I!$A:$D,4,FALSE))</f>
        <v>87.669999999999987</v>
      </c>
      <c r="J384" s="80">
        <f t="shared" si="19"/>
        <v>20.69</v>
      </c>
      <c r="K384" s="81"/>
    </row>
    <row r="385" spans="1:13" ht="30" customHeight="1" x14ac:dyDescent="0.25">
      <c r="A385" s="16" t="s">
        <v>302</v>
      </c>
      <c r="B385" s="20">
        <v>92272</v>
      </c>
      <c r="C385" s="77" t="str">
        <f>VLOOKUP(B385,IF(A385="COMPOSICAO",S!$A:$D,I!$A:$D),2,FALSE)</f>
        <v>FABRICAÇÃO DE ESCORAS DE VIGA DO TIPO GARFO, EM MADEIRA. AF_09/2020</v>
      </c>
      <c r="D385" s="77"/>
      <c r="E385" s="77"/>
      <c r="F385" s="77"/>
      <c r="G385" s="16" t="str">
        <f>VLOOKUP(B385,IF(A385="COMPOSICAO",S!$A:$D,I!$A:$D),3,FALSE)</f>
        <v>M</v>
      </c>
      <c r="H385" s="30">
        <v>1.482</v>
      </c>
      <c r="I385" s="17">
        <f>IF(A385="COMPOSICAO",VLOOKUP("TOTAL - "&amp;B385,COMPOSICAO_AUX_2!$A:$J,10,FALSE),VLOOKUP(B385,I!$A:$D,4,FALSE))</f>
        <v>29.37</v>
      </c>
      <c r="J385" s="80">
        <f t="shared" si="19"/>
        <v>43.52</v>
      </c>
      <c r="K385" s="81"/>
    </row>
    <row r="386" spans="1:13" ht="15" customHeight="1" x14ac:dyDescent="0.25">
      <c r="A386" s="23" t="s">
        <v>580</v>
      </c>
      <c r="B386" s="24"/>
      <c r="C386" s="24"/>
      <c r="D386" s="24"/>
      <c r="E386" s="24"/>
      <c r="F386" s="24"/>
      <c r="G386" s="25"/>
      <c r="H386" s="26"/>
      <c r="I386" s="27"/>
      <c r="J386" s="80">
        <f>SUM(J378:K385)</f>
        <v>89.860000000000014</v>
      </c>
      <c r="K386" s="81"/>
    </row>
    <row r="387" spans="1:13" ht="15" customHeight="1" x14ac:dyDescent="0.25">
      <c r="A387" s="3"/>
      <c r="B387" s="3"/>
      <c r="C387" s="3"/>
      <c r="D387" s="3"/>
      <c r="E387" s="3"/>
      <c r="F387" s="3"/>
      <c r="G387" s="3"/>
      <c r="H387" s="3"/>
      <c r="I387" s="3"/>
      <c r="J387" s="3"/>
      <c r="K387" s="3"/>
    </row>
    <row r="388" spans="1:13" ht="15" customHeight="1" x14ac:dyDescent="0.25">
      <c r="A388" s="10" t="s">
        <v>295</v>
      </c>
      <c r="B388" s="10" t="s">
        <v>31</v>
      </c>
      <c r="C388" s="82" t="s">
        <v>7</v>
      </c>
      <c r="D388" s="83"/>
      <c r="E388" s="83"/>
      <c r="F388" s="83"/>
      <c r="G388" s="6" t="s">
        <v>32</v>
      </c>
      <c r="H388" s="6" t="s">
        <v>296</v>
      </c>
      <c r="I388" s="6" t="s">
        <v>297</v>
      </c>
      <c r="J388" s="57" t="s">
        <v>9</v>
      </c>
      <c r="K388" s="58"/>
    </row>
    <row r="389" spans="1:13" ht="60" customHeight="1" x14ac:dyDescent="0.25">
      <c r="A389" s="6" t="s">
        <v>363</v>
      </c>
      <c r="B389" s="28">
        <v>92510</v>
      </c>
      <c r="C389" s="91" t="str">
        <f>VLOOKUP(B389,S!$A:$D,2,FALSE)</f>
        <v>MONTAGEM E DESMONTAGEM DE FÔRMA DE LAJE MACIÇA, PÉ-DIREITO SIMPLES, EM CHAPA DE MADEIRA COMPENSADA RESINADA, 2 UTILIZAÇÕES. AF_09/2020</v>
      </c>
      <c r="D389" s="91"/>
      <c r="E389" s="91"/>
      <c r="F389" s="92"/>
      <c r="G389" s="6" t="str">
        <f>VLOOKUP(B389,S!$A:$D,3,FALSE)</f>
        <v>M2</v>
      </c>
      <c r="H389" s="21"/>
      <c r="I389" s="21">
        <f>J396</f>
        <v>39.99</v>
      </c>
      <c r="J389" s="76"/>
      <c r="K389" s="72"/>
      <c r="L389" s="21">
        <f>VLOOKUP(B389,S!$A:$D,4,FALSE)</f>
        <v>39.99</v>
      </c>
      <c r="M389" s="6" t="str">
        <f>IF(ROUND((L389-I389),2)=0,"OK, confere com a tabela.",IF(ROUND((L389-I389),2)&lt;0,"ACIMA ("&amp;TEXT(ROUND(I389*100/L389,4),"0,0000")&amp;" %) da tabela.","ABAIXO ("&amp;TEXT(ROUND(I389*100/L389,4),"0,0000")&amp;" %) da tabela."))</f>
        <v>OK, confere com a tabela.</v>
      </c>
    </row>
    <row r="390" spans="1:13" ht="30" customHeight="1" x14ac:dyDescent="0.25">
      <c r="A390" s="16" t="s">
        <v>306</v>
      </c>
      <c r="B390" s="20">
        <v>2692</v>
      </c>
      <c r="C390" s="77" t="str">
        <f>VLOOKUP(B390,IF(A390="COMPOSICAO",S!$A:$D,I!$A:$D),2,FALSE)</f>
        <v>DESMOLDANTE PROTETOR PARA FORMAS DE MADEIRA, DE BASE OLEOSA EMULSIONADA EM AGUA</v>
      </c>
      <c r="D390" s="77"/>
      <c r="E390" s="77"/>
      <c r="F390" s="77"/>
      <c r="G390" s="16" t="str">
        <f>VLOOKUP(B390,IF(A390="COMPOSICAO",S!$A:$D,I!$A:$D),3,FALSE)</f>
        <v>L</v>
      </c>
      <c r="H390" s="17">
        <v>0.01</v>
      </c>
      <c r="I390" s="17">
        <f>IF(A390="COMPOSICAO",VLOOKUP("TOTAL - "&amp;B390,COMPOSICAO_AUX_2!$A:$J,10,FALSE),VLOOKUP(B390,I!$A:$D,4,FALSE))</f>
        <v>6.94</v>
      </c>
      <c r="J390" s="80">
        <f t="shared" ref="J390:J395" si="20">TRUNC(H390*I390,2)</f>
        <v>0.06</v>
      </c>
      <c r="K390" s="81"/>
    </row>
    <row r="391" spans="1:13" ht="60" customHeight="1" x14ac:dyDescent="0.25">
      <c r="A391" s="16" t="s">
        <v>306</v>
      </c>
      <c r="B391" s="20">
        <v>10749</v>
      </c>
      <c r="C391" s="77" t="str">
        <f>VLOOKUP(B391,IF(A391="COMPOSICAO",S!$A:$D,I!$A:$D),2,FALSE)</f>
        <v>LOCACAO DE ESCORA METALICA TELESCOPICA, COM ALTURA REGULAVEL DE *1,80* A *3,20* M, COM CAPACIDADE DE CARGA DE NO MINIMO 1000 KGF (10 KN), INCLUSO TRIPE E FORCADO</v>
      </c>
      <c r="D391" s="77"/>
      <c r="E391" s="77"/>
      <c r="F391" s="77"/>
      <c r="G391" s="16" t="str">
        <f>VLOOKUP(B391,IF(A391="COMPOSICAO",S!$A:$D,I!$A:$D),3,FALSE)</f>
        <v>MES</v>
      </c>
      <c r="H391" s="30">
        <v>0.39700000000000002</v>
      </c>
      <c r="I391" s="17">
        <f>IF(A391="COMPOSICAO",VLOOKUP("TOTAL - "&amp;B391,COMPOSICAO_AUX_2!$A:$J,10,FALSE),VLOOKUP(B391,I!$A:$D,4,FALSE))</f>
        <v>3.23</v>
      </c>
      <c r="J391" s="80">
        <f t="shared" si="20"/>
        <v>1.28</v>
      </c>
      <c r="K391" s="81"/>
    </row>
    <row r="392" spans="1:13" ht="30" customHeight="1" x14ac:dyDescent="0.25">
      <c r="A392" s="16" t="s">
        <v>306</v>
      </c>
      <c r="B392" s="20">
        <v>40270</v>
      </c>
      <c r="C392" s="77" t="str">
        <f>VLOOKUP(B392,IF(A392="COMPOSICAO",S!$A:$D,I!$A:$D),2,FALSE)</f>
        <v>VIGA DE ESCORAMAENTO H20, DE MADEIRA, PESO DE 5,00 A 5,20 KG/M, COM EXTREMIDADES PLASTICAS</v>
      </c>
      <c r="D392" s="77"/>
      <c r="E392" s="77"/>
      <c r="F392" s="77"/>
      <c r="G392" s="16" t="str">
        <f>VLOOKUP(B392,IF(A392="COMPOSICAO",S!$A:$D,I!$A:$D),3,FALSE)</f>
        <v>M</v>
      </c>
      <c r="H392" s="17">
        <v>0.03</v>
      </c>
      <c r="I392" s="17">
        <f>IF(A392="COMPOSICAO",VLOOKUP("TOTAL - "&amp;B392,COMPOSICAO_AUX_2!$A:$J,10,FALSE),VLOOKUP(B392,I!$A:$D,4,FALSE))</f>
        <v>69.73</v>
      </c>
      <c r="J392" s="80">
        <f t="shared" si="20"/>
        <v>2.09</v>
      </c>
      <c r="K392" s="81"/>
    </row>
    <row r="393" spans="1:13" ht="30" customHeight="1" x14ac:dyDescent="0.25">
      <c r="A393" s="16" t="s">
        <v>302</v>
      </c>
      <c r="B393" s="20">
        <v>88239</v>
      </c>
      <c r="C393" s="77" t="str">
        <f>VLOOKUP(B393,IF(A393="COMPOSICAO",S!$A:$D,I!$A:$D),2,FALSE)</f>
        <v>AJUDANTE DE CARPINTEIRO COM ENCARGOS COMPLEMENTARES</v>
      </c>
      <c r="D393" s="77"/>
      <c r="E393" s="77"/>
      <c r="F393" s="77"/>
      <c r="G393" s="16" t="str">
        <f>VLOOKUP(B393,IF(A393="COMPOSICAO",S!$A:$D,I!$A:$D),3,FALSE)</f>
        <v>H</v>
      </c>
      <c r="H393" s="30">
        <v>0.126</v>
      </c>
      <c r="I393" s="17">
        <f>IF(A393="COMPOSICAO",VLOOKUP("TOTAL - "&amp;B393,COMPOSICAO_AUX_2!$A:$J,10,FALSE),VLOOKUP(B393,I!$A:$D,4,FALSE))</f>
        <v>16.470000000000002</v>
      </c>
      <c r="J393" s="80">
        <f t="shared" si="20"/>
        <v>2.0699999999999998</v>
      </c>
      <c r="K393" s="81"/>
    </row>
    <row r="394" spans="1:13" ht="30" customHeight="1" x14ac:dyDescent="0.25">
      <c r="A394" s="16" t="s">
        <v>302</v>
      </c>
      <c r="B394" s="20">
        <v>88262</v>
      </c>
      <c r="C394" s="77" t="str">
        <f>VLOOKUP(B394,IF(A394="COMPOSICAO",S!$A:$D,I!$A:$D),2,FALSE)</f>
        <v>CARPINTEIRO DE FORMAS COM ENCARGOS COMPLEMENTARES</v>
      </c>
      <c r="D394" s="77"/>
      <c r="E394" s="77"/>
      <c r="F394" s="77"/>
      <c r="G394" s="16" t="str">
        <f>VLOOKUP(B394,IF(A394="COMPOSICAO",S!$A:$D,I!$A:$D),3,FALSE)</f>
        <v>H</v>
      </c>
      <c r="H394" s="30">
        <v>0.68700000000000006</v>
      </c>
      <c r="I394" s="17">
        <f>IF(A394="COMPOSICAO",VLOOKUP("TOTAL - "&amp;B394,COMPOSICAO_AUX_2!$A:$J,10,FALSE),VLOOKUP(B394,I!$A:$D,4,FALSE))</f>
        <v>19.649999999999999</v>
      </c>
      <c r="J394" s="80">
        <f t="shared" si="20"/>
        <v>13.49</v>
      </c>
      <c r="K394" s="81"/>
    </row>
    <row r="395" spans="1:13" ht="45" customHeight="1" x14ac:dyDescent="0.25">
      <c r="A395" s="16" t="s">
        <v>302</v>
      </c>
      <c r="B395" s="20">
        <v>92267</v>
      </c>
      <c r="C395" s="77" t="str">
        <f>VLOOKUP(B395,IF(A395="COMPOSICAO",S!$A:$D,I!$A:$D),2,FALSE)</f>
        <v>FABRICAÇÃO DE FÔRMA PARA LAJES, EM CHAPA DE MADEIRA COMPENSADA RESINADA, E = 17 MM. AF_09/2020</v>
      </c>
      <c r="D395" s="77"/>
      <c r="E395" s="77"/>
      <c r="F395" s="77"/>
      <c r="G395" s="16" t="str">
        <f>VLOOKUP(B395,IF(A395="COMPOSICAO",S!$A:$D,I!$A:$D),3,FALSE)</f>
        <v>M2</v>
      </c>
      <c r="H395" s="30">
        <v>0.57699999999999996</v>
      </c>
      <c r="I395" s="17">
        <f>IF(A395="COMPOSICAO",VLOOKUP("TOTAL - "&amp;B395,COMPOSICAO_AUX_2!$A:$J,10,FALSE),VLOOKUP(B395,I!$A:$D,4,FALSE))</f>
        <v>36.410000000000004</v>
      </c>
      <c r="J395" s="80">
        <f t="shared" si="20"/>
        <v>21</v>
      </c>
      <c r="K395" s="81"/>
    </row>
    <row r="396" spans="1:13" ht="15" customHeight="1" x14ac:dyDescent="0.25">
      <c r="A396" s="23" t="s">
        <v>581</v>
      </c>
      <c r="B396" s="24"/>
      <c r="C396" s="24"/>
      <c r="D396" s="24"/>
      <c r="E396" s="24"/>
      <c r="F396" s="24"/>
      <c r="G396" s="25"/>
      <c r="H396" s="26"/>
      <c r="I396" s="27"/>
      <c r="J396" s="80">
        <f>SUM(J389:K395)</f>
        <v>39.99</v>
      </c>
      <c r="K396" s="81"/>
    </row>
    <row r="397" spans="1:13" ht="15" customHeight="1" x14ac:dyDescent="0.25">
      <c r="A397" s="3"/>
      <c r="B397" s="3"/>
      <c r="C397" s="3"/>
      <c r="D397" s="3"/>
      <c r="E397" s="3"/>
      <c r="F397" s="3"/>
      <c r="G397" s="3"/>
      <c r="H397" s="3"/>
      <c r="I397" s="3"/>
      <c r="J397" s="3"/>
      <c r="K397" s="3"/>
    </row>
    <row r="398" spans="1:13" ht="15" customHeight="1" x14ac:dyDescent="0.25">
      <c r="A398" s="10" t="s">
        <v>295</v>
      </c>
      <c r="B398" s="10" t="s">
        <v>31</v>
      </c>
      <c r="C398" s="82" t="s">
        <v>7</v>
      </c>
      <c r="D398" s="83"/>
      <c r="E398" s="83"/>
      <c r="F398" s="83"/>
      <c r="G398" s="6" t="s">
        <v>32</v>
      </c>
      <c r="H398" s="6" t="s">
        <v>296</v>
      </c>
      <c r="I398" s="6" t="s">
        <v>297</v>
      </c>
      <c r="J398" s="57" t="s">
        <v>9</v>
      </c>
      <c r="K398" s="58"/>
    </row>
    <row r="399" spans="1:13" ht="60" customHeight="1" x14ac:dyDescent="0.25">
      <c r="A399" s="6" t="s">
        <v>363</v>
      </c>
      <c r="B399" s="28">
        <v>92522</v>
      </c>
      <c r="C399" s="91" t="str">
        <f>VLOOKUP(B399,S!$A:$D,2,FALSE)</f>
        <v>MONTAGEM E DESMONTAGEM DE FÔRMA DE LAJE MACIÇA, PÉ-DIREITO SIMPLES, EM CHAPA DE MADEIRA COMPENSADA RESINADA, 8 UTILIZAÇÕES. AF_09/2020</v>
      </c>
      <c r="D399" s="91"/>
      <c r="E399" s="91"/>
      <c r="F399" s="92"/>
      <c r="G399" s="6" t="str">
        <f>VLOOKUP(B399,S!$A:$D,3,FALSE)</f>
        <v>M2</v>
      </c>
      <c r="H399" s="21"/>
      <c r="I399" s="21">
        <f>J406</f>
        <v>20.13</v>
      </c>
      <c r="J399" s="76"/>
      <c r="K399" s="72"/>
      <c r="L399" s="21">
        <f>VLOOKUP(B399,S!$A:$D,4,FALSE)</f>
        <v>20.13</v>
      </c>
      <c r="M399" s="6" t="str">
        <f>IF(ROUND((L399-I399),2)=0,"OK, confere com a tabela.",IF(ROUND((L399-I399),2)&lt;0,"ACIMA ("&amp;TEXT(ROUND(I399*100/L399,4),"0,0000")&amp;" %) da tabela.","ABAIXO ("&amp;TEXT(ROUND(I399*100/L399,4),"0,0000")&amp;" %) da tabela."))</f>
        <v>OK, confere com a tabela.</v>
      </c>
    </row>
    <row r="400" spans="1:13" ht="30" customHeight="1" x14ac:dyDescent="0.25">
      <c r="A400" s="16" t="s">
        <v>306</v>
      </c>
      <c r="B400" s="20">
        <v>2692</v>
      </c>
      <c r="C400" s="77" t="str">
        <f>VLOOKUP(B400,IF(A400="COMPOSICAO",S!$A:$D,I!$A:$D),2,FALSE)</f>
        <v>DESMOLDANTE PROTETOR PARA FORMAS DE MADEIRA, DE BASE OLEOSA EMULSIONADA EM AGUA</v>
      </c>
      <c r="D400" s="77"/>
      <c r="E400" s="77"/>
      <c r="F400" s="77"/>
      <c r="G400" s="16" t="str">
        <f>VLOOKUP(B400,IF(A400="COMPOSICAO",S!$A:$D,I!$A:$D),3,FALSE)</f>
        <v>L</v>
      </c>
      <c r="H400" s="17">
        <v>0.01</v>
      </c>
      <c r="I400" s="17">
        <f>IF(A400="COMPOSICAO",VLOOKUP("TOTAL - "&amp;B400,COMPOSICAO_AUX_2!$A:$J,10,FALSE),VLOOKUP(B400,I!$A:$D,4,FALSE))</f>
        <v>6.94</v>
      </c>
      <c r="J400" s="80">
        <f t="shared" ref="J400:J405" si="21">TRUNC(H400*I400,2)</f>
        <v>0.06</v>
      </c>
      <c r="K400" s="81"/>
    </row>
    <row r="401" spans="1:13" ht="60" customHeight="1" x14ac:dyDescent="0.25">
      <c r="A401" s="16" t="s">
        <v>306</v>
      </c>
      <c r="B401" s="20">
        <v>10749</v>
      </c>
      <c r="C401" s="77" t="str">
        <f>VLOOKUP(B401,IF(A401="COMPOSICAO",S!$A:$D,I!$A:$D),2,FALSE)</f>
        <v>LOCACAO DE ESCORA METALICA TELESCOPICA, COM ALTURA REGULAVEL DE *1,80* A *3,20* M, COM CAPACIDADE DE CARGA DE NO MINIMO 1000 KGF (10 KN), INCLUSO TRIPE E FORCADO</v>
      </c>
      <c r="D401" s="77"/>
      <c r="E401" s="77"/>
      <c r="F401" s="77"/>
      <c r="G401" s="16" t="str">
        <f>VLOOKUP(B401,IF(A401="COMPOSICAO",S!$A:$D,I!$A:$D),3,FALSE)</f>
        <v>MES</v>
      </c>
      <c r="H401" s="30">
        <v>0.39700000000000002</v>
      </c>
      <c r="I401" s="17">
        <f>IF(A401="COMPOSICAO",VLOOKUP("TOTAL - "&amp;B401,COMPOSICAO_AUX_2!$A:$J,10,FALSE),VLOOKUP(B401,I!$A:$D,4,FALSE))</f>
        <v>3.23</v>
      </c>
      <c r="J401" s="80">
        <f t="shared" si="21"/>
        <v>1.28</v>
      </c>
      <c r="K401" s="81"/>
    </row>
    <row r="402" spans="1:13" ht="30" customHeight="1" x14ac:dyDescent="0.25">
      <c r="A402" s="16" t="s">
        <v>306</v>
      </c>
      <c r="B402" s="20">
        <v>40270</v>
      </c>
      <c r="C402" s="77" t="str">
        <f>VLOOKUP(B402,IF(A402="COMPOSICAO",S!$A:$D,I!$A:$D),2,FALSE)</f>
        <v>VIGA DE ESCORAMAENTO H20, DE MADEIRA, PESO DE 5,00 A 5,20 KG/M, COM EXTREMIDADES PLASTICAS</v>
      </c>
      <c r="D402" s="77"/>
      <c r="E402" s="77"/>
      <c r="F402" s="77"/>
      <c r="G402" s="16" t="str">
        <f>VLOOKUP(B402,IF(A402="COMPOSICAO",S!$A:$D,I!$A:$D),3,FALSE)</f>
        <v>M</v>
      </c>
      <c r="H402" s="17">
        <v>0.03</v>
      </c>
      <c r="I402" s="17">
        <f>IF(A402="COMPOSICAO",VLOOKUP("TOTAL - "&amp;B402,COMPOSICAO_AUX_2!$A:$J,10,FALSE),VLOOKUP(B402,I!$A:$D,4,FALSE))</f>
        <v>69.73</v>
      </c>
      <c r="J402" s="80">
        <f t="shared" si="21"/>
        <v>2.09</v>
      </c>
      <c r="K402" s="81"/>
    </row>
    <row r="403" spans="1:13" ht="30" customHeight="1" x14ac:dyDescent="0.25">
      <c r="A403" s="16" t="s">
        <v>302</v>
      </c>
      <c r="B403" s="20">
        <v>88239</v>
      </c>
      <c r="C403" s="77" t="str">
        <f>VLOOKUP(B403,IF(A403="COMPOSICAO",S!$A:$D,I!$A:$D),2,FALSE)</f>
        <v>AJUDANTE DE CARPINTEIRO COM ENCARGOS COMPLEMENTARES</v>
      </c>
      <c r="D403" s="77"/>
      <c r="E403" s="77"/>
      <c r="F403" s="77"/>
      <c r="G403" s="16" t="str">
        <f>VLOOKUP(B403,IF(A403="COMPOSICAO",S!$A:$D,I!$A:$D),3,FALSE)</f>
        <v>H</v>
      </c>
      <c r="H403" s="30">
        <v>7.8E-2</v>
      </c>
      <c r="I403" s="17">
        <f>IF(A403="COMPOSICAO",VLOOKUP("TOTAL - "&amp;B403,COMPOSICAO_AUX_2!$A:$J,10,FALSE),VLOOKUP(B403,I!$A:$D,4,FALSE))</f>
        <v>16.470000000000002</v>
      </c>
      <c r="J403" s="80">
        <f t="shared" si="21"/>
        <v>1.28</v>
      </c>
      <c r="K403" s="81"/>
    </row>
    <row r="404" spans="1:13" ht="30" customHeight="1" x14ac:dyDescent="0.25">
      <c r="A404" s="16" t="s">
        <v>302</v>
      </c>
      <c r="B404" s="20">
        <v>88262</v>
      </c>
      <c r="C404" s="77" t="str">
        <f>VLOOKUP(B404,IF(A404="COMPOSICAO",S!$A:$D,I!$A:$D),2,FALSE)</f>
        <v>CARPINTEIRO DE FORMAS COM ENCARGOS COMPLEMENTARES</v>
      </c>
      <c r="D404" s="77"/>
      <c r="E404" s="77"/>
      <c r="F404" s="77"/>
      <c r="G404" s="16" t="str">
        <f>VLOOKUP(B404,IF(A404="COMPOSICAO",S!$A:$D,I!$A:$D),3,FALSE)</f>
        <v>H</v>
      </c>
      <c r="H404" s="30">
        <v>0.42399999999999999</v>
      </c>
      <c r="I404" s="17">
        <f>IF(A404="COMPOSICAO",VLOOKUP("TOTAL - "&amp;B404,COMPOSICAO_AUX_2!$A:$J,10,FALSE),VLOOKUP(B404,I!$A:$D,4,FALSE))</f>
        <v>19.649999999999999</v>
      </c>
      <c r="J404" s="80">
        <f t="shared" si="21"/>
        <v>8.33</v>
      </c>
      <c r="K404" s="81"/>
    </row>
    <row r="405" spans="1:13" ht="45" customHeight="1" x14ac:dyDescent="0.25">
      <c r="A405" s="16" t="s">
        <v>302</v>
      </c>
      <c r="B405" s="20">
        <v>92267</v>
      </c>
      <c r="C405" s="77" t="str">
        <f>VLOOKUP(B405,IF(A405="COMPOSICAO",S!$A:$D,I!$A:$D),2,FALSE)</f>
        <v>FABRICAÇÃO DE FÔRMA PARA LAJES, EM CHAPA DE MADEIRA COMPENSADA RESINADA, E = 17 MM. AF_09/2020</v>
      </c>
      <c r="D405" s="77"/>
      <c r="E405" s="77"/>
      <c r="F405" s="77"/>
      <c r="G405" s="16" t="str">
        <f>VLOOKUP(B405,IF(A405="COMPOSICAO",S!$A:$D,I!$A:$D),3,FALSE)</f>
        <v>M2</v>
      </c>
      <c r="H405" s="30">
        <v>0.19500000000000001</v>
      </c>
      <c r="I405" s="17">
        <f>IF(A405="COMPOSICAO",VLOOKUP("TOTAL - "&amp;B405,COMPOSICAO_AUX_2!$A:$J,10,FALSE),VLOOKUP(B405,I!$A:$D,4,FALSE))</f>
        <v>36.410000000000004</v>
      </c>
      <c r="J405" s="80">
        <f t="shared" si="21"/>
        <v>7.09</v>
      </c>
      <c r="K405" s="81"/>
    </row>
    <row r="406" spans="1:13" ht="15" customHeight="1" x14ac:dyDescent="0.25">
      <c r="A406" s="23" t="s">
        <v>582</v>
      </c>
      <c r="B406" s="24"/>
      <c r="C406" s="24"/>
      <c r="D406" s="24"/>
      <c r="E406" s="24"/>
      <c r="F406" s="24"/>
      <c r="G406" s="25"/>
      <c r="H406" s="26"/>
      <c r="I406" s="27"/>
      <c r="J406" s="80">
        <f>SUM(J399:K405)</f>
        <v>20.13</v>
      </c>
      <c r="K406" s="81"/>
    </row>
    <row r="407" spans="1:13" ht="15" customHeight="1" x14ac:dyDescent="0.25">
      <c r="A407" s="3"/>
      <c r="B407" s="3"/>
      <c r="C407" s="3"/>
      <c r="D407" s="3"/>
      <c r="E407" s="3"/>
      <c r="F407" s="3"/>
      <c r="G407" s="3"/>
      <c r="H407" s="3"/>
      <c r="I407" s="3"/>
      <c r="J407" s="3"/>
      <c r="K407" s="3"/>
    </row>
    <row r="408" spans="1:13" ht="15" customHeight="1" x14ac:dyDescent="0.25">
      <c r="A408" s="10" t="s">
        <v>295</v>
      </c>
      <c r="B408" s="10" t="s">
        <v>31</v>
      </c>
      <c r="C408" s="82" t="s">
        <v>7</v>
      </c>
      <c r="D408" s="83"/>
      <c r="E408" s="83"/>
      <c r="F408" s="83"/>
      <c r="G408" s="6" t="s">
        <v>32</v>
      </c>
      <c r="H408" s="6" t="s">
        <v>296</v>
      </c>
      <c r="I408" s="6" t="s">
        <v>297</v>
      </c>
      <c r="J408" s="57" t="s">
        <v>9</v>
      </c>
      <c r="K408" s="58"/>
    </row>
    <row r="409" spans="1:13" ht="60" customHeight="1" x14ac:dyDescent="0.25">
      <c r="A409" s="6" t="s">
        <v>363</v>
      </c>
      <c r="B409" s="28">
        <v>92759</v>
      </c>
      <c r="C409" s="91" t="str">
        <f>VLOOKUP(B409,S!$A:$D,2,FALSE)</f>
        <v>ARMAÇÃO DE PILAR OU VIGA DE UMA ESTRUTURA CONVENCIONAL DE CONCRETO ARMADO EM UM EDIFÍCIO DE MÚLTIPLOS PAVIMENTOS UTILIZANDO AÇO CA-60 DE 5,0 MM - MONTAGEM. AF_12/2015</v>
      </c>
      <c r="D409" s="91"/>
      <c r="E409" s="91"/>
      <c r="F409" s="92"/>
      <c r="G409" s="6" t="str">
        <f>VLOOKUP(B409,S!$A:$D,3,FALSE)</f>
        <v>KG</v>
      </c>
      <c r="H409" s="21"/>
      <c r="I409" s="21">
        <f>J415</f>
        <v>15.32</v>
      </c>
      <c r="J409" s="76"/>
      <c r="K409" s="72"/>
      <c r="L409" s="21">
        <f>VLOOKUP(B409,S!$A:$D,4,FALSE)</f>
        <v>15.32</v>
      </c>
      <c r="M409" s="6" t="str">
        <f>IF(ROUND((L409-I409),2)=0,"OK, confere com a tabela.",IF(ROUND((L409-I409),2)&lt;0,"ACIMA ("&amp;TEXT(ROUND(I409*100/L409,4),"0,0000")&amp;" %) da tabela.","ABAIXO ("&amp;TEXT(ROUND(I409*100/L409,4),"0,0000")&amp;" %) da tabela."))</f>
        <v>OK, confere com a tabela.</v>
      </c>
    </row>
    <row r="410" spans="1:13" ht="45" customHeight="1" x14ac:dyDescent="0.25">
      <c r="A410" s="16" t="s">
        <v>306</v>
      </c>
      <c r="B410" s="20">
        <v>39017</v>
      </c>
      <c r="C410" s="77" t="str">
        <f>VLOOKUP(B410,IF(A410="COMPOSICAO",S!$A:$D,I!$A:$D),2,FALSE)</f>
        <v>ESPACADOR / DISTANCIADOR CIRCULAR COM ENTRADA LATERAL, EM PLASTICO, PARA VERGALHAO *4,2 A 12,5* MM, COBRIMENTO 20 MM</v>
      </c>
      <c r="D410" s="77"/>
      <c r="E410" s="77"/>
      <c r="F410" s="77"/>
      <c r="G410" s="16" t="str">
        <f>VLOOKUP(B410,IF(A410="COMPOSICAO",S!$A:$D,I!$A:$D),3,FALSE)</f>
        <v>UN</v>
      </c>
      <c r="H410" s="17">
        <v>1.19</v>
      </c>
      <c r="I410" s="17">
        <f>IF(A410="COMPOSICAO",VLOOKUP("TOTAL - "&amp;B410,COMPOSICAO_AUX_2!$A:$J,10,FALSE),VLOOKUP(B410,I!$A:$D,4,FALSE))</f>
        <v>0.21</v>
      </c>
      <c r="J410" s="80">
        <f>TRUNC(H410*I410,2)</f>
        <v>0.24</v>
      </c>
      <c r="K410" s="81"/>
    </row>
    <row r="411" spans="1:13" ht="30" customHeight="1" x14ac:dyDescent="0.25">
      <c r="A411" s="16" t="s">
        <v>306</v>
      </c>
      <c r="B411" s="20">
        <v>43132</v>
      </c>
      <c r="C411" s="77" t="str">
        <f>VLOOKUP(B411,IF(A411="COMPOSICAO",S!$A:$D,I!$A:$D),2,FALSE)</f>
        <v>ARAME RECOZIDO 16 BWG, D = 1,65 MM (0,016 KG/M) OU 18 BWG, D = 1,25 MM (0,01 KG/M)</v>
      </c>
      <c r="D411" s="77"/>
      <c r="E411" s="77"/>
      <c r="F411" s="77"/>
      <c r="G411" s="16" t="str">
        <f>VLOOKUP(B411,IF(A411="COMPOSICAO",S!$A:$D,I!$A:$D),3,FALSE)</f>
        <v>KG</v>
      </c>
      <c r="H411" s="30">
        <v>2.5000000000000001E-2</v>
      </c>
      <c r="I411" s="17">
        <f>IF(A411="COMPOSICAO",VLOOKUP("TOTAL - "&amp;B411,COMPOSICAO_AUX_2!$A:$J,10,FALSE),VLOOKUP(B411,I!$A:$D,4,FALSE))</f>
        <v>22.75</v>
      </c>
      <c r="J411" s="80">
        <f>TRUNC(H411*I411,2)</f>
        <v>0.56000000000000005</v>
      </c>
      <c r="K411" s="81"/>
    </row>
    <row r="412" spans="1:13" ht="30" customHeight="1" x14ac:dyDescent="0.25">
      <c r="A412" s="16" t="s">
        <v>302</v>
      </c>
      <c r="B412" s="20">
        <v>88238</v>
      </c>
      <c r="C412" s="77" t="str">
        <f>VLOOKUP(B412,IF(A412="COMPOSICAO",S!$A:$D,I!$A:$D),2,FALSE)</f>
        <v>AJUDANTE DE ARMADOR COM ENCARGOS COMPLEMENTARES</v>
      </c>
      <c r="D412" s="77"/>
      <c r="E412" s="77"/>
      <c r="F412" s="77"/>
      <c r="G412" s="16" t="str">
        <f>VLOOKUP(B412,IF(A412="COMPOSICAO",S!$A:$D,I!$A:$D),3,FALSE)</f>
        <v>H</v>
      </c>
      <c r="H412" s="29">
        <v>2.0299999999999999E-2</v>
      </c>
      <c r="I412" s="17">
        <f>IF(A412="COMPOSICAO",VLOOKUP("TOTAL - "&amp;B412,COMPOSICAO_AUX_2!$A:$J,10,FALSE),VLOOKUP(B412,I!$A:$D,4,FALSE))</f>
        <v>15.19</v>
      </c>
      <c r="J412" s="80">
        <f>TRUNC(H412*I412,2)</f>
        <v>0.3</v>
      </c>
      <c r="K412" s="81"/>
    </row>
    <row r="413" spans="1:13" ht="15" customHeight="1" x14ac:dyDescent="0.25">
      <c r="A413" s="16" t="s">
        <v>302</v>
      </c>
      <c r="B413" s="20">
        <v>88245</v>
      </c>
      <c r="C413" s="77" t="str">
        <f>VLOOKUP(B413,IF(A413="COMPOSICAO",S!$A:$D,I!$A:$D),2,FALSE)</f>
        <v>ARMADOR COM ENCARGOS COMPLEMENTARES</v>
      </c>
      <c r="D413" s="77"/>
      <c r="E413" s="77"/>
      <c r="F413" s="77"/>
      <c r="G413" s="16" t="str">
        <f>VLOOKUP(B413,IF(A413="COMPOSICAO",S!$A:$D,I!$A:$D),3,FALSE)</f>
        <v>H</v>
      </c>
      <c r="H413" s="29">
        <v>0.1241</v>
      </c>
      <c r="I413" s="17">
        <f>IF(A413="COMPOSICAO",VLOOKUP("TOTAL - "&amp;B413,COMPOSICAO_AUX_2!$A:$J,10,FALSE),VLOOKUP(B413,I!$A:$D,4,FALSE))</f>
        <v>19.749999999999996</v>
      </c>
      <c r="J413" s="80">
        <f>TRUNC(H413*I413,2)</f>
        <v>2.4500000000000002</v>
      </c>
      <c r="K413" s="81"/>
    </row>
    <row r="414" spans="1:13" ht="45" customHeight="1" x14ac:dyDescent="0.25">
      <c r="A414" s="16" t="s">
        <v>302</v>
      </c>
      <c r="B414" s="20">
        <v>92791</v>
      </c>
      <c r="C414" s="77" t="str">
        <f>VLOOKUP(B414,IF(A414="COMPOSICAO",S!$A:$D,I!$A:$D),2,FALSE)</f>
        <v>CORTE E DOBRA DE AÇO CA-60, DIÂMETRO DE 5,0 MM, UTILIZADO EM ESTRUTURAS DIVERSAS, EXCETO LAJES. AF_12/2015</v>
      </c>
      <c r="D414" s="77"/>
      <c r="E414" s="77"/>
      <c r="F414" s="77"/>
      <c r="G414" s="16" t="str">
        <f>VLOOKUP(B414,IF(A414="COMPOSICAO",S!$A:$D,I!$A:$D),3,FALSE)</f>
        <v>KG</v>
      </c>
      <c r="H414" s="17">
        <v>1</v>
      </c>
      <c r="I414" s="17">
        <f>IF(A414="COMPOSICAO",VLOOKUP("TOTAL - "&amp;B414,COMPOSICAO_AUX_2!$A:$J,10,FALSE),VLOOKUP(B414,I!$A:$D,4,FALSE))</f>
        <v>11.77</v>
      </c>
      <c r="J414" s="80">
        <f>TRUNC(H414*I414,2)</f>
        <v>11.77</v>
      </c>
      <c r="K414" s="81"/>
    </row>
    <row r="415" spans="1:13" ht="15" customHeight="1" x14ac:dyDescent="0.25">
      <c r="A415" s="23" t="s">
        <v>583</v>
      </c>
      <c r="B415" s="24"/>
      <c r="C415" s="24"/>
      <c r="D415" s="24"/>
      <c r="E415" s="24"/>
      <c r="F415" s="24"/>
      <c r="G415" s="25"/>
      <c r="H415" s="26"/>
      <c r="I415" s="27"/>
      <c r="J415" s="80">
        <f>SUM(J409:K414)</f>
        <v>15.32</v>
      </c>
      <c r="K415" s="81"/>
    </row>
    <row r="416" spans="1:13" ht="15" customHeight="1" x14ac:dyDescent="0.25">
      <c r="A416" s="3"/>
      <c r="B416" s="3"/>
      <c r="C416" s="3"/>
      <c r="D416" s="3"/>
      <c r="E416" s="3"/>
      <c r="F416" s="3"/>
      <c r="G416" s="3"/>
      <c r="H416" s="3"/>
      <c r="I416" s="3"/>
      <c r="J416" s="3"/>
      <c r="K416" s="3"/>
    </row>
    <row r="417" spans="1:13" ht="15" customHeight="1" x14ac:dyDescent="0.25">
      <c r="A417" s="10" t="s">
        <v>295</v>
      </c>
      <c r="B417" s="10" t="s">
        <v>31</v>
      </c>
      <c r="C417" s="82" t="s">
        <v>7</v>
      </c>
      <c r="D417" s="83"/>
      <c r="E417" s="83"/>
      <c r="F417" s="83"/>
      <c r="G417" s="6" t="s">
        <v>32</v>
      </c>
      <c r="H417" s="6" t="s">
        <v>296</v>
      </c>
      <c r="I417" s="6" t="s">
        <v>297</v>
      </c>
      <c r="J417" s="57" t="s">
        <v>9</v>
      </c>
      <c r="K417" s="58"/>
    </row>
    <row r="418" spans="1:13" ht="60" customHeight="1" x14ac:dyDescent="0.25">
      <c r="A418" s="6" t="s">
        <v>363</v>
      </c>
      <c r="B418" s="28">
        <v>92760</v>
      </c>
      <c r="C418" s="91" t="str">
        <f>VLOOKUP(B418,S!$A:$D,2,FALSE)</f>
        <v>ARMAÇÃO DE PILAR OU VIGA DE UMA ESTRUTURA CONVENCIONAL DE CONCRETO ARMADO EM UM EDIFÍCIO DE MÚLTIPLOS PAVIMENTOS UTILIZANDO AÇO CA-50 DE 6,3 MM - MONTAGEM. AF_12/2015</v>
      </c>
      <c r="D418" s="91"/>
      <c r="E418" s="91"/>
      <c r="F418" s="92"/>
      <c r="G418" s="6" t="str">
        <f>VLOOKUP(B418,S!$A:$D,3,FALSE)</f>
        <v>KG</v>
      </c>
      <c r="H418" s="21"/>
      <c r="I418" s="21">
        <f>J424</f>
        <v>15.010000000000002</v>
      </c>
      <c r="J418" s="76"/>
      <c r="K418" s="72"/>
      <c r="L418" s="21">
        <f>VLOOKUP(B418,S!$A:$D,4,FALSE)</f>
        <v>15.01</v>
      </c>
      <c r="M418" s="6" t="str">
        <f>IF(ROUND((L418-I418),2)=0,"OK, confere com a tabela.",IF(ROUND((L418-I418),2)&lt;0,"ACIMA ("&amp;TEXT(ROUND(I418*100/L418,4),"0,0000")&amp;" %) da tabela.","ABAIXO ("&amp;TEXT(ROUND(I418*100/L418,4),"0,0000")&amp;" %) da tabela."))</f>
        <v>OK, confere com a tabela.</v>
      </c>
    </row>
    <row r="419" spans="1:13" ht="45" customHeight="1" x14ac:dyDescent="0.25">
      <c r="A419" s="16" t="s">
        <v>306</v>
      </c>
      <c r="B419" s="20">
        <v>39017</v>
      </c>
      <c r="C419" s="77" t="str">
        <f>VLOOKUP(B419,IF(A419="COMPOSICAO",S!$A:$D,I!$A:$D),2,FALSE)</f>
        <v>ESPACADOR / DISTANCIADOR CIRCULAR COM ENTRADA LATERAL, EM PLASTICO, PARA VERGALHAO *4,2 A 12,5* MM, COBRIMENTO 20 MM</v>
      </c>
      <c r="D419" s="77"/>
      <c r="E419" s="77"/>
      <c r="F419" s="77"/>
      <c r="G419" s="16" t="str">
        <f>VLOOKUP(B419,IF(A419="COMPOSICAO",S!$A:$D,I!$A:$D),3,FALSE)</f>
        <v>UN</v>
      </c>
      <c r="H419" s="17">
        <v>0.97</v>
      </c>
      <c r="I419" s="17">
        <f>IF(A419="COMPOSICAO",VLOOKUP("TOTAL - "&amp;B419,COMPOSICAO_AUX_2!$A:$J,10,FALSE),VLOOKUP(B419,I!$A:$D,4,FALSE))</f>
        <v>0.21</v>
      </c>
      <c r="J419" s="80">
        <f>TRUNC(H419*I419,2)</f>
        <v>0.2</v>
      </c>
      <c r="K419" s="81"/>
    </row>
    <row r="420" spans="1:13" ht="30" customHeight="1" x14ac:dyDescent="0.25">
      <c r="A420" s="16" t="s">
        <v>306</v>
      </c>
      <c r="B420" s="20">
        <v>43132</v>
      </c>
      <c r="C420" s="77" t="str">
        <f>VLOOKUP(B420,IF(A420="COMPOSICAO",S!$A:$D,I!$A:$D),2,FALSE)</f>
        <v>ARAME RECOZIDO 16 BWG, D = 1,65 MM (0,016 KG/M) OU 18 BWG, D = 1,25 MM (0,01 KG/M)</v>
      </c>
      <c r="D420" s="77"/>
      <c r="E420" s="77"/>
      <c r="F420" s="77"/>
      <c r="G420" s="16" t="str">
        <f>VLOOKUP(B420,IF(A420="COMPOSICAO",S!$A:$D,I!$A:$D),3,FALSE)</f>
        <v>KG</v>
      </c>
      <c r="H420" s="30">
        <v>2.5000000000000001E-2</v>
      </c>
      <c r="I420" s="17">
        <f>IF(A420="COMPOSICAO",VLOOKUP("TOTAL - "&amp;B420,COMPOSICAO_AUX_2!$A:$J,10,FALSE),VLOOKUP(B420,I!$A:$D,4,FALSE))</f>
        <v>22.75</v>
      </c>
      <c r="J420" s="80">
        <f>TRUNC(H420*I420,2)</f>
        <v>0.56000000000000005</v>
      </c>
      <c r="K420" s="81"/>
    </row>
    <row r="421" spans="1:13" ht="30" customHeight="1" x14ac:dyDescent="0.25">
      <c r="A421" s="16" t="s">
        <v>302</v>
      </c>
      <c r="B421" s="20">
        <v>88238</v>
      </c>
      <c r="C421" s="77" t="str">
        <f>VLOOKUP(B421,IF(A421="COMPOSICAO",S!$A:$D,I!$A:$D),2,FALSE)</f>
        <v>AJUDANTE DE ARMADOR COM ENCARGOS COMPLEMENTARES</v>
      </c>
      <c r="D421" s="77"/>
      <c r="E421" s="77"/>
      <c r="F421" s="77"/>
      <c r="G421" s="16" t="str">
        <f>VLOOKUP(B421,IF(A421="COMPOSICAO",S!$A:$D,I!$A:$D),3,FALSE)</f>
        <v>H</v>
      </c>
      <c r="H421" s="29">
        <v>1.55E-2</v>
      </c>
      <c r="I421" s="17">
        <f>IF(A421="COMPOSICAO",VLOOKUP("TOTAL - "&amp;B421,COMPOSICAO_AUX_2!$A:$J,10,FALSE),VLOOKUP(B421,I!$A:$D,4,FALSE))</f>
        <v>15.19</v>
      </c>
      <c r="J421" s="80">
        <f>TRUNC(H421*I421,2)</f>
        <v>0.23</v>
      </c>
      <c r="K421" s="81"/>
    </row>
    <row r="422" spans="1:13" ht="15" customHeight="1" x14ac:dyDescent="0.25">
      <c r="A422" s="16" t="s">
        <v>302</v>
      </c>
      <c r="B422" s="20">
        <v>88245</v>
      </c>
      <c r="C422" s="77" t="str">
        <f>VLOOKUP(B422,IF(A422="COMPOSICAO",S!$A:$D,I!$A:$D),2,FALSE)</f>
        <v>ARMADOR COM ENCARGOS COMPLEMENTARES</v>
      </c>
      <c r="D422" s="77"/>
      <c r="E422" s="77"/>
      <c r="F422" s="77"/>
      <c r="G422" s="16" t="str">
        <f>VLOOKUP(B422,IF(A422="COMPOSICAO",S!$A:$D,I!$A:$D),3,FALSE)</f>
        <v>H</v>
      </c>
      <c r="H422" s="29">
        <v>9.4700000000000006E-2</v>
      </c>
      <c r="I422" s="17">
        <f>IF(A422="COMPOSICAO",VLOOKUP("TOTAL - "&amp;B422,COMPOSICAO_AUX_2!$A:$J,10,FALSE),VLOOKUP(B422,I!$A:$D,4,FALSE))</f>
        <v>19.749999999999996</v>
      </c>
      <c r="J422" s="80">
        <f>TRUNC(H422*I422,2)</f>
        <v>1.87</v>
      </c>
      <c r="K422" s="81"/>
    </row>
    <row r="423" spans="1:13" ht="45" customHeight="1" x14ac:dyDescent="0.25">
      <c r="A423" s="16" t="s">
        <v>302</v>
      </c>
      <c r="B423" s="20">
        <v>92792</v>
      </c>
      <c r="C423" s="77" t="str">
        <f>VLOOKUP(B423,IF(A423="COMPOSICAO",S!$A:$D,I!$A:$D),2,FALSE)</f>
        <v>CORTE E DOBRA DE AÇO CA-50, DIÂMETRO DE 6,3 MM, UTILIZADO EM ESTRUTURAS DIVERSAS, EXCETO LAJES. AF_12/2015</v>
      </c>
      <c r="D423" s="77"/>
      <c r="E423" s="77"/>
      <c r="F423" s="77"/>
      <c r="G423" s="16" t="str">
        <f>VLOOKUP(B423,IF(A423="COMPOSICAO",S!$A:$D,I!$A:$D),3,FALSE)</f>
        <v>KG</v>
      </c>
      <c r="H423" s="17">
        <v>1</v>
      </c>
      <c r="I423" s="17">
        <f>IF(A423="COMPOSICAO",VLOOKUP("TOTAL - "&amp;B423,COMPOSICAO_AUX_2!$A:$J,10,FALSE),VLOOKUP(B423,I!$A:$D,4,FALSE))</f>
        <v>12.15</v>
      </c>
      <c r="J423" s="80">
        <f>TRUNC(H423*I423,2)</f>
        <v>12.15</v>
      </c>
      <c r="K423" s="81"/>
    </row>
    <row r="424" spans="1:13" ht="15" customHeight="1" x14ac:dyDescent="0.25">
      <c r="A424" s="23" t="s">
        <v>584</v>
      </c>
      <c r="B424" s="24"/>
      <c r="C424" s="24"/>
      <c r="D424" s="24"/>
      <c r="E424" s="24"/>
      <c r="F424" s="24"/>
      <c r="G424" s="25"/>
      <c r="H424" s="26"/>
      <c r="I424" s="27"/>
      <c r="J424" s="80">
        <f>SUM(J418:K423)</f>
        <v>15.010000000000002</v>
      </c>
      <c r="K424" s="81"/>
    </row>
    <row r="425" spans="1:13" ht="15" customHeight="1" x14ac:dyDescent="0.25">
      <c r="A425" s="3"/>
      <c r="B425" s="3"/>
      <c r="C425" s="3"/>
      <c r="D425" s="3"/>
      <c r="E425" s="3"/>
      <c r="F425" s="3"/>
      <c r="G425" s="3"/>
      <c r="H425" s="3"/>
      <c r="I425" s="3"/>
      <c r="J425" s="3"/>
      <c r="K425" s="3"/>
    </row>
    <row r="426" spans="1:13" ht="15" customHeight="1" x14ac:dyDescent="0.25">
      <c r="A426" s="10" t="s">
        <v>295</v>
      </c>
      <c r="B426" s="10" t="s">
        <v>31</v>
      </c>
      <c r="C426" s="82" t="s">
        <v>7</v>
      </c>
      <c r="D426" s="83"/>
      <c r="E426" s="83"/>
      <c r="F426" s="83"/>
      <c r="G426" s="6" t="s">
        <v>32</v>
      </c>
      <c r="H426" s="6" t="s">
        <v>296</v>
      </c>
      <c r="I426" s="6" t="s">
        <v>297</v>
      </c>
      <c r="J426" s="57" t="s">
        <v>9</v>
      </c>
      <c r="K426" s="58"/>
    </row>
    <row r="427" spans="1:13" ht="60" customHeight="1" x14ac:dyDescent="0.25">
      <c r="A427" s="6" t="s">
        <v>363</v>
      </c>
      <c r="B427" s="28">
        <v>92761</v>
      </c>
      <c r="C427" s="91" t="str">
        <f>VLOOKUP(B427,S!$A:$D,2,FALSE)</f>
        <v>ARMAÇÃO DE PILAR OU VIGA DE UMA ESTRUTURA CONVENCIONAL DE CONCRETO ARMADO EM UM EDIFÍCIO DE MÚLTIPLOS PAVIMENTOS UTILIZANDO AÇO CA-50 DE 8,0 MM - MONTAGEM. AF_12/2015</v>
      </c>
      <c r="D427" s="91"/>
      <c r="E427" s="91"/>
      <c r="F427" s="92"/>
      <c r="G427" s="6" t="str">
        <f>VLOOKUP(B427,S!$A:$D,3,FALSE)</f>
        <v>KG</v>
      </c>
      <c r="H427" s="21"/>
      <c r="I427" s="21">
        <f>J433</f>
        <v>14.49</v>
      </c>
      <c r="J427" s="76"/>
      <c r="K427" s="72"/>
      <c r="L427" s="21">
        <f>VLOOKUP(B427,S!$A:$D,4,FALSE)</f>
        <v>14.49</v>
      </c>
      <c r="M427" s="6" t="str">
        <f>IF(ROUND((L427-I427),2)=0,"OK, confere com a tabela.",IF(ROUND((L427-I427),2)&lt;0,"ACIMA ("&amp;TEXT(ROUND(I427*100/L427,4),"0,0000")&amp;" %) da tabela.","ABAIXO ("&amp;TEXT(ROUND(I427*100/L427,4),"0,0000")&amp;" %) da tabela."))</f>
        <v>OK, confere com a tabela.</v>
      </c>
    </row>
    <row r="428" spans="1:13" ht="45" customHeight="1" x14ac:dyDescent="0.25">
      <c r="A428" s="16" t="s">
        <v>306</v>
      </c>
      <c r="B428" s="20">
        <v>39017</v>
      </c>
      <c r="C428" s="77" t="str">
        <f>VLOOKUP(B428,IF(A428="COMPOSICAO",S!$A:$D,I!$A:$D),2,FALSE)</f>
        <v>ESPACADOR / DISTANCIADOR CIRCULAR COM ENTRADA LATERAL, EM PLASTICO, PARA VERGALHAO *4,2 A 12,5* MM, COBRIMENTO 20 MM</v>
      </c>
      <c r="D428" s="77"/>
      <c r="E428" s="77"/>
      <c r="F428" s="77"/>
      <c r="G428" s="16" t="str">
        <f>VLOOKUP(B428,IF(A428="COMPOSICAO",S!$A:$D,I!$A:$D),3,FALSE)</f>
        <v>UN</v>
      </c>
      <c r="H428" s="30">
        <v>0.74299999999999999</v>
      </c>
      <c r="I428" s="17">
        <f>IF(A428="COMPOSICAO",VLOOKUP("TOTAL - "&amp;B428,COMPOSICAO_AUX_2!$A:$J,10,FALSE),VLOOKUP(B428,I!$A:$D,4,FALSE))</f>
        <v>0.21</v>
      </c>
      <c r="J428" s="80">
        <f>TRUNC(H428*I428,2)</f>
        <v>0.15</v>
      </c>
      <c r="K428" s="81"/>
    </row>
    <row r="429" spans="1:13" ht="30" customHeight="1" x14ac:dyDescent="0.25">
      <c r="A429" s="16" t="s">
        <v>306</v>
      </c>
      <c r="B429" s="20">
        <v>43132</v>
      </c>
      <c r="C429" s="77" t="str">
        <f>VLOOKUP(B429,IF(A429="COMPOSICAO",S!$A:$D,I!$A:$D),2,FALSE)</f>
        <v>ARAME RECOZIDO 16 BWG, D = 1,65 MM (0,016 KG/M) OU 18 BWG, D = 1,25 MM (0,01 KG/M)</v>
      </c>
      <c r="D429" s="77"/>
      <c r="E429" s="77"/>
      <c r="F429" s="77"/>
      <c r="G429" s="16" t="str">
        <f>VLOOKUP(B429,IF(A429="COMPOSICAO",S!$A:$D,I!$A:$D),3,FALSE)</f>
        <v>KG</v>
      </c>
      <c r="H429" s="30">
        <v>2.5000000000000001E-2</v>
      </c>
      <c r="I429" s="17">
        <f>IF(A429="COMPOSICAO",VLOOKUP("TOTAL - "&amp;B429,COMPOSICAO_AUX_2!$A:$J,10,FALSE),VLOOKUP(B429,I!$A:$D,4,FALSE))</f>
        <v>22.75</v>
      </c>
      <c r="J429" s="80">
        <f>TRUNC(H429*I429,2)</f>
        <v>0.56000000000000005</v>
      </c>
      <c r="K429" s="81"/>
    </row>
    <row r="430" spans="1:13" ht="30" customHeight="1" x14ac:dyDescent="0.25">
      <c r="A430" s="16" t="s">
        <v>302</v>
      </c>
      <c r="B430" s="20">
        <v>88238</v>
      </c>
      <c r="C430" s="77" t="str">
        <f>VLOOKUP(B430,IF(A430="COMPOSICAO",S!$A:$D,I!$A:$D),2,FALSE)</f>
        <v>AJUDANTE DE ARMADOR COM ENCARGOS COMPLEMENTARES</v>
      </c>
      <c r="D430" s="77"/>
      <c r="E430" s="77"/>
      <c r="F430" s="77"/>
      <c r="G430" s="16" t="str">
        <f>VLOOKUP(B430,IF(A430="COMPOSICAO",S!$A:$D,I!$A:$D),3,FALSE)</f>
        <v>H</v>
      </c>
      <c r="H430" s="29">
        <v>1.15E-2</v>
      </c>
      <c r="I430" s="17">
        <f>IF(A430="COMPOSICAO",VLOOKUP("TOTAL - "&amp;B430,COMPOSICAO_AUX_2!$A:$J,10,FALSE),VLOOKUP(B430,I!$A:$D,4,FALSE))</f>
        <v>15.19</v>
      </c>
      <c r="J430" s="80">
        <f>TRUNC(H430*I430,2)</f>
        <v>0.17</v>
      </c>
      <c r="K430" s="81"/>
    </row>
    <row r="431" spans="1:13" ht="15" customHeight="1" x14ac:dyDescent="0.25">
      <c r="A431" s="16" t="s">
        <v>302</v>
      </c>
      <c r="B431" s="20">
        <v>88245</v>
      </c>
      <c r="C431" s="77" t="str">
        <f>VLOOKUP(B431,IF(A431="COMPOSICAO",S!$A:$D,I!$A:$D),2,FALSE)</f>
        <v>ARMADOR COM ENCARGOS COMPLEMENTARES</v>
      </c>
      <c r="D431" s="77"/>
      <c r="E431" s="77"/>
      <c r="F431" s="77"/>
      <c r="G431" s="16" t="str">
        <f>VLOOKUP(B431,IF(A431="COMPOSICAO",S!$A:$D,I!$A:$D),3,FALSE)</f>
        <v>H</v>
      </c>
      <c r="H431" s="29">
        <v>7.0699999999999999E-2</v>
      </c>
      <c r="I431" s="17">
        <f>IF(A431="COMPOSICAO",VLOOKUP("TOTAL - "&amp;B431,COMPOSICAO_AUX_2!$A:$J,10,FALSE),VLOOKUP(B431,I!$A:$D,4,FALSE))</f>
        <v>19.749999999999996</v>
      </c>
      <c r="J431" s="80">
        <f>TRUNC(H431*I431,2)</f>
        <v>1.39</v>
      </c>
      <c r="K431" s="81"/>
    </row>
    <row r="432" spans="1:13" ht="45" customHeight="1" x14ac:dyDescent="0.25">
      <c r="A432" s="16" t="s">
        <v>302</v>
      </c>
      <c r="B432" s="20">
        <v>92793</v>
      </c>
      <c r="C432" s="77" t="str">
        <f>VLOOKUP(B432,IF(A432="COMPOSICAO",S!$A:$D,I!$A:$D),2,FALSE)</f>
        <v>CORTE E DOBRA DE AÇO CA-50, DIÂMETRO DE 8,0 MM, UTILIZADO EM ESTRUTURAS DIVERSAS, EXCETO LAJES. AF_12/2015</v>
      </c>
      <c r="D432" s="77"/>
      <c r="E432" s="77"/>
      <c r="F432" s="77"/>
      <c r="G432" s="16" t="str">
        <f>VLOOKUP(B432,IF(A432="COMPOSICAO",S!$A:$D,I!$A:$D),3,FALSE)</f>
        <v>KG</v>
      </c>
      <c r="H432" s="17">
        <v>1</v>
      </c>
      <c r="I432" s="17">
        <f>IF(A432="COMPOSICAO",VLOOKUP("TOTAL - "&amp;B432,COMPOSICAO_AUX_2!$A:$J,10,FALSE),VLOOKUP(B432,I!$A:$D,4,FALSE))</f>
        <v>12.219999999999999</v>
      </c>
      <c r="J432" s="80">
        <f>TRUNC(H432*I432,2)</f>
        <v>12.22</v>
      </c>
      <c r="K432" s="81"/>
    </row>
    <row r="433" spans="1:13" ht="15" customHeight="1" x14ac:dyDescent="0.25">
      <c r="A433" s="23" t="s">
        <v>585</v>
      </c>
      <c r="B433" s="24"/>
      <c r="C433" s="24"/>
      <c r="D433" s="24"/>
      <c r="E433" s="24"/>
      <c r="F433" s="24"/>
      <c r="G433" s="25"/>
      <c r="H433" s="26"/>
      <c r="I433" s="27"/>
      <c r="J433" s="80">
        <f>SUM(J427:K432)</f>
        <v>14.49</v>
      </c>
      <c r="K433" s="81"/>
    </row>
    <row r="434" spans="1:13" ht="15" customHeight="1" x14ac:dyDescent="0.25">
      <c r="A434" s="3"/>
      <c r="B434" s="3"/>
      <c r="C434" s="3"/>
      <c r="D434" s="3"/>
      <c r="E434" s="3"/>
      <c r="F434" s="3"/>
      <c r="G434" s="3"/>
      <c r="H434" s="3"/>
      <c r="I434" s="3"/>
      <c r="J434" s="3"/>
      <c r="K434" s="3"/>
    </row>
    <row r="435" spans="1:13" ht="15" customHeight="1" x14ac:dyDescent="0.25">
      <c r="A435" s="10" t="s">
        <v>295</v>
      </c>
      <c r="B435" s="10" t="s">
        <v>31</v>
      </c>
      <c r="C435" s="82" t="s">
        <v>7</v>
      </c>
      <c r="D435" s="83"/>
      <c r="E435" s="83"/>
      <c r="F435" s="83"/>
      <c r="G435" s="6" t="s">
        <v>32</v>
      </c>
      <c r="H435" s="6" t="s">
        <v>296</v>
      </c>
      <c r="I435" s="6" t="s">
        <v>297</v>
      </c>
      <c r="J435" s="57" t="s">
        <v>9</v>
      </c>
      <c r="K435" s="58"/>
    </row>
    <row r="436" spans="1:13" ht="60" customHeight="1" x14ac:dyDescent="0.25">
      <c r="A436" s="6" t="s">
        <v>363</v>
      </c>
      <c r="B436" s="28">
        <v>92762</v>
      </c>
      <c r="C436" s="91" t="str">
        <f>VLOOKUP(B436,S!$A:$D,2,FALSE)</f>
        <v>ARMAÇÃO DE PILAR OU VIGA DE UMA ESTRUTURA CONVENCIONAL DE CONCRETO ARMADO EM UM EDIFÍCIO DE MÚLTIPLOS PAVIMENTOS UTILIZANDO AÇO CA-50 DE 10,0 MM - MONTAGEM. AF_12/2015</v>
      </c>
      <c r="D436" s="91"/>
      <c r="E436" s="91"/>
      <c r="F436" s="92"/>
      <c r="G436" s="6" t="str">
        <f>VLOOKUP(B436,S!$A:$D,3,FALSE)</f>
        <v>KG</v>
      </c>
      <c r="H436" s="21"/>
      <c r="I436" s="21">
        <f>J442</f>
        <v>13.16</v>
      </c>
      <c r="J436" s="76"/>
      <c r="K436" s="72"/>
      <c r="L436" s="21">
        <f>VLOOKUP(B436,S!$A:$D,4,FALSE)</f>
        <v>13.16</v>
      </c>
      <c r="M436" s="6" t="str">
        <f>IF(ROUND((L436-I436),2)=0,"OK, confere com a tabela.",IF(ROUND((L436-I436),2)&lt;0,"ACIMA ("&amp;TEXT(ROUND(I436*100/L436,4),"0,0000")&amp;" %) da tabela.","ABAIXO ("&amp;TEXT(ROUND(I436*100/L436,4),"0,0000")&amp;" %) da tabela."))</f>
        <v>OK, confere com a tabela.</v>
      </c>
    </row>
    <row r="437" spans="1:13" ht="45" customHeight="1" x14ac:dyDescent="0.25">
      <c r="A437" s="16" t="s">
        <v>306</v>
      </c>
      <c r="B437" s="20">
        <v>39017</v>
      </c>
      <c r="C437" s="77" t="str">
        <f>VLOOKUP(B437,IF(A437="COMPOSICAO",S!$A:$D,I!$A:$D),2,FALSE)</f>
        <v>ESPACADOR / DISTANCIADOR CIRCULAR COM ENTRADA LATERAL, EM PLASTICO, PARA VERGALHAO *4,2 A 12,5* MM, COBRIMENTO 20 MM</v>
      </c>
      <c r="D437" s="77"/>
      <c r="E437" s="77"/>
      <c r="F437" s="77"/>
      <c r="G437" s="16" t="str">
        <f>VLOOKUP(B437,IF(A437="COMPOSICAO",S!$A:$D,I!$A:$D),3,FALSE)</f>
        <v>UN</v>
      </c>
      <c r="H437" s="30">
        <v>0.54300000000000004</v>
      </c>
      <c r="I437" s="17">
        <f>IF(A437="COMPOSICAO",VLOOKUP("TOTAL - "&amp;B437,COMPOSICAO_AUX_2!$A:$J,10,FALSE),VLOOKUP(B437,I!$A:$D,4,FALSE))</f>
        <v>0.21</v>
      </c>
      <c r="J437" s="80">
        <f>TRUNC(H437*I437,2)</f>
        <v>0.11</v>
      </c>
      <c r="K437" s="81"/>
    </row>
    <row r="438" spans="1:13" ht="30" customHeight="1" x14ac:dyDescent="0.25">
      <c r="A438" s="16" t="s">
        <v>306</v>
      </c>
      <c r="B438" s="20">
        <v>43132</v>
      </c>
      <c r="C438" s="77" t="str">
        <f>VLOOKUP(B438,IF(A438="COMPOSICAO",S!$A:$D,I!$A:$D),2,FALSE)</f>
        <v>ARAME RECOZIDO 16 BWG, D = 1,65 MM (0,016 KG/M) OU 18 BWG, D = 1,25 MM (0,01 KG/M)</v>
      </c>
      <c r="D438" s="77"/>
      <c r="E438" s="77"/>
      <c r="F438" s="77"/>
      <c r="G438" s="16" t="str">
        <f>VLOOKUP(B438,IF(A438="COMPOSICAO",S!$A:$D,I!$A:$D),3,FALSE)</f>
        <v>KG</v>
      </c>
      <c r="H438" s="30">
        <v>2.5000000000000001E-2</v>
      </c>
      <c r="I438" s="17">
        <f>IF(A438="COMPOSICAO",VLOOKUP("TOTAL - "&amp;B438,COMPOSICAO_AUX_2!$A:$J,10,FALSE),VLOOKUP(B438,I!$A:$D,4,FALSE))</f>
        <v>22.75</v>
      </c>
      <c r="J438" s="80">
        <f>TRUNC(H438*I438,2)</f>
        <v>0.56000000000000005</v>
      </c>
      <c r="K438" s="81"/>
    </row>
    <row r="439" spans="1:13" ht="30" customHeight="1" x14ac:dyDescent="0.25">
      <c r="A439" s="16" t="s">
        <v>302</v>
      </c>
      <c r="B439" s="20">
        <v>88238</v>
      </c>
      <c r="C439" s="77" t="str">
        <f>VLOOKUP(B439,IF(A439="COMPOSICAO",S!$A:$D,I!$A:$D),2,FALSE)</f>
        <v>AJUDANTE DE ARMADOR COM ENCARGOS COMPLEMENTARES</v>
      </c>
      <c r="D439" s="77"/>
      <c r="E439" s="77"/>
      <c r="F439" s="77"/>
      <c r="G439" s="16" t="str">
        <f>VLOOKUP(B439,IF(A439="COMPOSICAO",S!$A:$D,I!$A:$D),3,FALSE)</f>
        <v>H</v>
      </c>
      <c r="H439" s="29">
        <v>8.6E-3</v>
      </c>
      <c r="I439" s="17">
        <f>IF(A439="COMPOSICAO",VLOOKUP("TOTAL - "&amp;B439,COMPOSICAO_AUX_2!$A:$J,10,FALSE),VLOOKUP(B439,I!$A:$D,4,FALSE))</f>
        <v>15.19</v>
      </c>
      <c r="J439" s="80">
        <f>TRUNC(H439*I439,2)</f>
        <v>0.13</v>
      </c>
      <c r="K439" s="81"/>
    </row>
    <row r="440" spans="1:13" ht="15" customHeight="1" x14ac:dyDescent="0.25">
      <c r="A440" s="16" t="s">
        <v>302</v>
      </c>
      <c r="B440" s="20">
        <v>88245</v>
      </c>
      <c r="C440" s="77" t="str">
        <f>VLOOKUP(B440,IF(A440="COMPOSICAO",S!$A:$D,I!$A:$D),2,FALSE)</f>
        <v>ARMADOR COM ENCARGOS COMPLEMENTARES</v>
      </c>
      <c r="D440" s="77"/>
      <c r="E440" s="77"/>
      <c r="F440" s="77"/>
      <c r="G440" s="16" t="str">
        <f>VLOOKUP(B440,IF(A440="COMPOSICAO",S!$A:$D,I!$A:$D),3,FALSE)</f>
        <v>H</v>
      </c>
      <c r="H440" s="29">
        <v>5.2900000000000003E-2</v>
      </c>
      <c r="I440" s="17">
        <f>IF(A440="COMPOSICAO",VLOOKUP("TOTAL - "&amp;B440,COMPOSICAO_AUX_2!$A:$J,10,FALSE),VLOOKUP(B440,I!$A:$D,4,FALSE))</f>
        <v>19.749999999999996</v>
      </c>
      <c r="J440" s="80">
        <f>TRUNC(H440*I440,2)</f>
        <v>1.04</v>
      </c>
      <c r="K440" s="81"/>
    </row>
    <row r="441" spans="1:13" ht="45" customHeight="1" x14ac:dyDescent="0.25">
      <c r="A441" s="16" t="s">
        <v>302</v>
      </c>
      <c r="B441" s="20">
        <v>92794</v>
      </c>
      <c r="C441" s="77" t="str">
        <f>VLOOKUP(B441,IF(A441="COMPOSICAO",S!$A:$D,I!$A:$D),2,FALSE)</f>
        <v>CORTE E DOBRA DE AÇO CA-50, DIÂMETRO DE 10,0 MM, UTILIZADO EM ESTRUTURAS DIVERSAS, EXCETO LAJES. AF_12/2015</v>
      </c>
      <c r="D441" s="77"/>
      <c r="E441" s="77"/>
      <c r="F441" s="77"/>
      <c r="G441" s="16" t="str">
        <f>VLOOKUP(B441,IF(A441="COMPOSICAO",S!$A:$D,I!$A:$D),3,FALSE)</f>
        <v>KG</v>
      </c>
      <c r="H441" s="17">
        <v>1</v>
      </c>
      <c r="I441" s="17">
        <f>IF(A441="COMPOSICAO",VLOOKUP("TOTAL - "&amp;B441,COMPOSICAO_AUX_2!$A:$J,10,FALSE),VLOOKUP(B441,I!$A:$D,4,FALSE))</f>
        <v>11.32</v>
      </c>
      <c r="J441" s="80">
        <f>TRUNC(H441*I441,2)</f>
        <v>11.32</v>
      </c>
      <c r="K441" s="81"/>
    </row>
    <row r="442" spans="1:13" ht="15" customHeight="1" x14ac:dyDescent="0.25">
      <c r="A442" s="23" t="s">
        <v>586</v>
      </c>
      <c r="B442" s="24"/>
      <c r="C442" s="24"/>
      <c r="D442" s="24"/>
      <c r="E442" s="24"/>
      <c r="F442" s="24"/>
      <c r="G442" s="25"/>
      <c r="H442" s="26"/>
      <c r="I442" s="27"/>
      <c r="J442" s="80">
        <f>SUM(J436:K441)</f>
        <v>13.16</v>
      </c>
      <c r="K442" s="81"/>
    </row>
    <row r="443" spans="1:13" ht="15" customHeight="1" x14ac:dyDescent="0.25">
      <c r="A443" s="3"/>
      <c r="B443" s="3"/>
      <c r="C443" s="3"/>
      <c r="D443" s="3"/>
      <c r="E443" s="3"/>
      <c r="F443" s="3"/>
      <c r="G443" s="3"/>
      <c r="H443" s="3"/>
      <c r="I443" s="3"/>
      <c r="J443" s="3"/>
      <c r="K443" s="3"/>
    </row>
    <row r="444" spans="1:13" ht="15" customHeight="1" x14ac:dyDescent="0.25">
      <c r="A444" s="10" t="s">
        <v>295</v>
      </c>
      <c r="B444" s="10" t="s">
        <v>31</v>
      </c>
      <c r="C444" s="82" t="s">
        <v>7</v>
      </c>
      <c r="D444" s="83"/>
      <c r="E444" s="83"/>
      <c r="F444" s="83"/>
      <c r="G444" s="6" t="s">
        <v>32</v>
      </c>
      <c r="H444" s="6" t="s">
        <v>296</v>
      </c>
      <c r="I444" s="6" t="s">
        <v>297</v>
      </c>
      <c r="J444" s="57" t="s">
        <v>9</v>
      </c>
      <c r="K444" s="58"/>
    </row>
    <row r="445" spans="1:13" ht="60" customHeight="1" x14ac:dyDescent="0.25">
      <c r="A445" s="6" t="s">
        <v>363</v>
      </c>
      <c r="B445" s="28">
        <v>92763</v>
      </c>
      <c r="C445" s="91" t="str">
        <f>VLOOKUP(B445,S!$A:$D,2,FALSE)</f>
        <v>ARMAÇÃO DE PILAR OU VIGA DE UMA ESTRUTURA CONVENCIONAL DE CONCRETO ARMADO EM UM EDIFÍCIO DE MÚLTIPLOS PAVIMENTOS UTILIZANDO AÇO CA-50 DE 12,5 MM - MONTAGEM. AF_12/2015</v>
      </c>
      <c r="D445" s="91"/>
      <c r="E445" s="91"/>
      <c r="F445" s="92"/>
      <c r="G445" s="6" t="str">
        <f>VLOOKUP(B445,S!$A:$D,3,FALSE)</f>
        <v>KG</v>
      </c>
      <c r="H445" s="21"/>
      <c r="I445" s="21">
        <f>J451</f>
        <v>11.21</v>
      </c>
      <c r="J445" s="76"/>
      <c r="K445" s="72"/>
      <c r="L445" s="21">
        <f>VLOOKUP(B445,S!$A:$D,4,FALSE)</f>
        <v>11.21</v>
      </c>
      <c r="M445" s="6" t="str">
        <f>IF(ROUND((L445-I445),2)=0,"OK, confere com a tabela.",IF(ROUND((L445-I445),2)&lt;0,"ACIMA ("&amp;TEXT(ROUND(I445*100/L445,4),"0,0000")&amp;" %) da tabela.","ABAIXO ("&amp;TEXT(ROUND(I445*100/L445,4),"0,0000")&amp;" %) da tabela."))</f>
        <v>OK, confere com a tabela.</v>
      </c>
    </row>
    <row r="446" spans="1:13" ht="45" customHeight="1" x14ac:dyDescent="0.25">
      <c r="A446" s="16" t="s">
        <v>306</v>
      </c>
      <c r="B446" s="20">
        <v>39017</v>
      </c>
      <c r="C446" s="77" t="str">
        <f>VLOOKUP(B446,IF(A446="COMPOSICAO",S!$A:$D,I!$A:$D),2,FALSE)</f>
        <v>ESPACADOR / DISTANCIADOR CIRCULAR COM ENTRADA LATERAL, EM PLASTICO, PARA VERGALHAO *4,2 A 12,5* MM, COBRIMENTO 20 MM</v>
      </c>
      <c r="D446" s="77"/>
      <c r="E446" s="77"/>
      <c r="F446" s="77"/>
      <c r="G446" s="16" t="str">
        <f>VLOOKUP(B446,IF(A446="COMPOSICAO",S!$A:$D,I!$A:$D),3,FALSE)</f>
        <v>UN</v>
      </c>
      <c r="H446" s="30">
        <v>0.36699999999999999</v>
      </c>
      <c r="I446" s="17">
        <f>IF(A446="COMPOSICAO",VLOOKUP("TOTAL - "&amp;B446,COMPOSICAO_AUX_2!$A:$J,10,FALSE),VLOOKUP(B446,I!$A:$D,4,FALSE))</f>
        <v>0.21</v>
      </c>
      <c r="J446" s="80">
        <f>TRUNC(H446*I446,2)</f>
        <v>7.0000000000000007E-2</v>
      </c>
      <c r="K446" s="81"/>
    </row>
    <row r="447" spans="1:13" ht="30" customHeight="1" x14ac:dyDescent="0.25">
      <c r="A447" s="16" t="s">
        <v>306</v>
      </c>
      <c r="B447" s="20">
        <v>43132</v>
      </c>
      <c r="C447" s="77" t="str">
        <f>VLOOKUP(B447,IF(A447="COMPOSICAO",S!$A:$D,I!$A:$D),2,FALSE)</f>
        <v>ARAME RECOZIDO 16 BWG, D = 1,65 MM (0,016 KG/M) OU 18 BWG, D = 1,25 MM (0,01 KG/M)</v>
      </c>
      <c r="D447" s="77"/>
      <c r="E447" s="77"/>
      <c r="F447" s="77"/>
      <c r="G447" s="16" t="str">
        <f>VLOOKUP(B447,IF(A447="COMPOSICAO",S!$A:$D,I!$A:$D),3,FALSE)</f>
        <v>KG</v>
      </c>
      <c r="H447" s="30">
        <v>2.5000000000000001E-2</v>
      </c>
      <c r="I447" s="17">
        <f>IF(A447="COMPOSICAO",VLOOKUP("TOTAL - "&amp;B447,COMPOSICAO_AUX_2!$A:$J,10,FALSE),VLOOKUP(B447,I!$A:$D,4,FALSE))</f>
        <v>22.75</v>
      </c>
      <c r="J447" s="80">
        <f>TRUNC(H447*I447,2)</f>
        <v>0.56000000000000005</v>
      </c>
      <c r="K447" s="81"/>
    </row>
    <row r="448" spans="1:13" ht="30" customHeight="1" x14ac:dyDescent="0.25">
      <c r="A448" s="16" t="s">
        <v>302</v>
      </c>
      <c r="B448" s="20">
        <v>88238</v>
      </c>
      <c r="C448" s="77" t="str">
        <f>VLOOKUP(B448,IF(A448="COMPOSICAO",S!$A:$D,I!$A:$D),2,FALSE)</f>
        <v>AJUDANTE DE ARMADOR COM ENCARGOS COMPLEMENTARES</v>
      </c>
      <c r="D448" s="77"/>
      <c r="E448" s="77"/>
      <c r="F448" s="77"/>
      <c r="G448" s="16" t="str">
        <f>VLOOKUP(B448,IF(A448="COMPOSICAO",S!$A:$D,I!$A:$D),3,FALSE)</f>
        <v>H</v>
      </c>
      <c r="H448" s="29">
        <v>6.3E-3</v>
      </c>
      <c r="I448" s="17">
        <f>IF(A448="COMPOSICAO",VLOOKUP("TOTAL - "&amp;B448,COMPOSICAO_AUX_2!$A:$J,10,FALSE),VLOOKUP(B448,I!$A:$D,4,FALSE))</f>
        <v>15.19</v>
      </c>
      <c r="J448" s="80">
        <f>TRUNC(H448*I448,2)</f>
        <v>0.09</v>
      </c>
      <c r="K448" s="81"/>
    </row>
    <row r="449" spans="1:13" ht="15" customHeight="1" x14ac:dyDescent="0.25">
      <c r="A449" s="16" t="s">
        <v>302</v>
      </c>
      <c r="B449" s="20">
        <v>88245</v>
      </c>
      <c r="C449" s="77" t="str">
        <f>VLOOKUP(B449,IF(A449="COMPOSICAO",S!$A:$D,I!$A:$D),2,FALSE)</f>
        <v>ARMADOR COM ENCARGOS COMPLEMENTARES</v>
      </c>
      <c r="D449" s="77"/>
      <c r="E449" s="77"/>
      <c r="F449" s="77"/>
      <c r="G449" s="16" t="str">
        <f>VLOOKUP(B449,IF(A449="COMPOSICAO",S!$A:$D,I!$A:$D),3,FALSE)</f>
        <v>H</v>
      </c>
      <c r="H449" s="29">
        <v>3.8600000000000002E-2</v>
      </c>
      <c r="I449" s="17">
        <f>IF(A449="COMPOSICAO",VLOOKUP("TOTAL - "&amp;B449,COMPOSICAO_AUX_2!$A:$J,10,FALSE),VLOOKUP(B449,I!$A:$D,4,FALSE))</f>
        <v>19.749999999999996</v>
      </c>
      <c r="J449" s="80">
        <f>TRUNC(H449*I449,2)</f>
        <v>0.76</v>
      </c>
      <c r="K449" s="81"/>
    </row>
    <row r="450" spans="1:13" ht="45" customHeight="1" x14ac:dyDescent="0.25">
      <c r="A450" s="16" t="s">
        <v>302</v>
      </c>
      <c r="B450" s="20">
        <v>92795</v>
      </c>
      <c r="C450" s="77" t="str">
        <f>VLOOKUP(B450,IF(A450="COMPOSICAO",S!$A:$D,I!$A:$D),2,FALSE)</f>
        <v>CORTE E DOBRA DE AÇO CA-50, DIÂMETRO DE 12,5 MM, UTILIZADO EM ESTRUTURAS DIVERSAS, EXCETO LAJES. AF_12/2015</v>
      </c>
      <c r="D450" s="77"/>
      <c r="E450" s="77"/>
      <c r="F450" s="77"/>
      <c r="G450" s="16" t="str">
        <f>VLOOKUP(B450,IF(A450="COMPOSICAO",S!$A:$D,I!$A:$D),3,FALSE)</f>
        <v>KG</v>
      </c>
      <c r="H450" s="17">
        <v>1</v>
      </c>
      <c r="I450" s="17">
        <f>IF(A450="COMPOSICAO",VLOOKUP("TOTAL - "&amp;B450,COMPOSICAO_AUX_2!$A:$J,10,FALSE),VLOOKUP(B450,I!$A:$D,4,FALSE))</f>
        <v>9.73</v>
      </c>
      <c r="J450" s="80">
        <f>TRUNC(H450*I450,2)</f>
        <v>9.73</v>
      </c>
      <c r="K450" s="81"/>
    </row>
    <row r="451" spans="1:13" ht="15" customHeight="1" x14ac:dyDescent="0.25">
      <c r="A451" s="23" t="s">
        <v>587</v>
      </c>
      <c r="B451" s="24"/>
      <c r="C451" s="24"/>
      <c r="D451" s="24"/>
      <c r="E451" s="24"/>
      <c r="F451" s="24"/>
      <c r="G451" s="25"/>
      <c r="H451" s="26"/>
      <c r="I451" s="27"/>
      <c r="J451" s="80">
        <f>SUM(J445:K450)</f>
        <v>11.21</v>
      </c>
      <c r="K451" s="81"/>
    </row>
    <row r="452" spans="1:13" ht="15" customHeight="1" x14ac:dyDescent="0.25">
      <c r="A452" s="3"/>
      <c r="B452" s="3"/>
      <c r="C452" s="3"/>
      <c r="D452" s="3"/>
      <c r="E452" s="3"/>
      <c r="F452" s="3"/>
      <c r="G452" s="3"/>
      <c r="H452" s="3"/>
      <c r="I452" s="3"/>
      <c r="J452" s="3"/>
      <c r="K452" s="3"/>
    </row>
    <row r="453" spans="1:13" ht="15" customHeight="1" x14ac:dyDescent="0.25">
      <c r="A453" s="10" t="s">
        <v>295</v>
      </c>
      <c r="B453" s="10" t="s">
        <v>31</v>
      </c>
      <c r="C453" s="82" t="s">
        <v>7</v>
      </c>
      <c r="D453" s="83"/>
      <c r="E453" s="83"/>
      <c r="F453" s="83"/>
      <c r="G453" s="6" t="s">
        <v>32</v>
      </c>
      <c r="H453" s="6" t="s">
        <v>296</v>
      </c>
      <c r="I453" s="6" t="s">
        <v>297</v>
      </c>
      <c r="J453" s="57" t="s">
        <v>9</v>
      </c>
      <c r="K453" s="58"/>
    </row>
    <row r="454" spans="1:13" ht="60" customHeight="1" x14ac:dyDescent="0.25">
      <c r="A454" s="6" t="s">
        <v>363</v>
      </c>
      <c r="B454" s="28">
        <v>92764</v>
      </c>
      <c r="C454" s="91" t="str">
        <f>VLOOKUP(B454,S!$A:$D,2,FALSE)</f>
        <v>ARMAÇÃO DE PILAR OU VIGA DE UMA ESTRUTURA CONVENCIONAL DE CONCRETO ARMADO EM UM EDIFÍCIO DE MÚLTIPLOS PAVIMENTOS UTILIZANDO AÇO CA-50 DE 16,0 MM - MONTAGEM. AF_12/2015</v>
      </c>
      <c r="D454" s="91"/>
      <c r="E454" s="91"/>
      <c r="F454" s="92"/>
      <c r="G454" s="6" t="str">
        <f>VLOOKUP(B454,S!$A:$D,3,FALSE)</f>
        <v>KG</v>
      </c>
      <c r="H454" s="21"/>
      <c r="I454" s="21">
        <f>J460</f>
        <v>10.83</v>
      </c>
      <c r="J454" s="76"/>
      <c r="K454" s="72"/>
      <c r="L454" s="21">
        <f>VLOOKUP(B454,S!$A:$D,4,FALSE)</f>
        <v>10.83</v>
      </c>
      <c r="M454" s="6" t="str">
        <f>IF(ROUND((L454-I454),2)=0,"OK, confere com a tabela.",IF(ROUND((L454-I454),2)&lt;0,"ACIMA ("&amp;TEXT(ROUND(I454*100/L454,4),"0,0000")&amp;" %) da tabela.","ABAIXO ("&amp;TEXT(ROUND(I454*100/L454,4),"0,0000")&amp;" %) da tabela."))</f>
        <v>OK, confere com a tabela.</v>
      </c>
    </row>
    <row r="455" spans="1:13" ht="45" customHeight="1" x14ac:dyDescent="0.25">
      <c r="A455" s="16" t="s">
        <v>306</v>
      </c>
      <c r="B455" s="20">
        <v>39017</v>
      </c>
      <c r="C455" s="77" t="str">
        <f>VLOOKUP(B455,IF(A455="COMPOSICAO",S!$A:$D,I!$A:$D),2,FALSE)</f>
        <v>ESPACADOR / DISTANCIADOR CIRCULAR COM ENTRADA LATERAL, EM PLASTICO, PARA VERGALHAO *4,2 A 12,5* MM, COBRIMENTO 20 MM</v>
      </c>
      <c r="D455" s="77"/>
      <c r="E455" s="77"/>
      <c r="F455" s="77"/>
      <c r="G455" s="16" t="str">
        <f>VLOOKUP(B455,IF(A455="COMPOSICAO",S!$A:$D,I!$A:$D),3,FALSE)</f>
        <v>UN</v>
      </c>
      <c r="H455" s="30">
        <v>0.21199999999999999</v>
      </c>
      <c r="I455" s="17">
        <f>IF(A455="COMPOSICAO",VLOOKUP("TOTAL - "&amp;B455,COMPOSICAO_AUX_2!$A:$J,10,FALSE),VLOOKUP(B455,I!$A:$D,4,FALSE))</f>
        <v>0.21</v>
      </c>
      <c r="J455" s="80">
        <f>TRUNC(H455*I455,2)</f>
        <v>0.04</v>
      </c>
      <c r="K455" s="81"/>
    </row>
    <row r="456" spans="1:13" ht="30" customHeight="1" x14ac:dyDescent="0.25">
      <c r="A456" s="16" t="s">
        <v>306</v>
      </c>
      <c r="B456" s="20">
        <v>43132</v>
      </c>
      <c r="C456" s="77" t="str">
        <f>VLOOKUP(B456,IF(A456="COMPOSICAO",S!$A:$D,I!$A:$D),2,FALSE)</f>
        <v>ARAME RECOZIDO 16 BWG, D = 1,65 MM (0,016 KG/M) OU 18 BWG, D = 1,25 MM (0,01 KG/M)</v>
      </c>
      <c r="D456" s="77"/>
      <c r="E456" s="77"/>
      <c r="F456" s="77"/>
      <c r="G456" s="16" t="str">
        <f>VLOOKUP(B456,IF(A456="COMPOSICAO",S!$A:$D,I!$A:$D),3,FALSE)</f>
        <v>KG</v>
      </c>
      <c r="H456" s="30">
        <v>2.5000000000000001E-2</v>
      </c>
      <c r="I456" s="17">
        <f>IF(A456="COMPOSICAO",VLOOKUP("TOTAL - "&amp;B456,COMPOSICAO_AUX_2!$A:$J,10,FALSE),VLOOKUP(B456,I!$A:$D,4,FALSE))</f>
        <v>22.75</v>
      </c>
      <c r="J456" s="80">
        <f>TRUNC(H456*I456,2)</f>
        <v>0.56000000000000005</v>
      </c>
      <c r="K456" s="81"/>
    </row>
    <row r="457" spans="1:13" ht="30" customHeight="1" x14ac:dyDescent="0.25">
      <c r="A457" s="16" t="s">
        <v>302</v>
      </c>
      <c r="B457" s="20">
        <v>88238</v>
      </c>
      <c r="C457" s="77" t="str">
        <f>VLOOKUP(B457,IF(A457="COMPOSICAO",S!$A:$D,I!$A:$D),2,FALSE)</f>
        <v>AJUDANTE DE ARMADOR COM ENCARGOS COMPLEMENTARES</v>
      </c>
      <c r="D457" s="77"/>
      <c r="E457" s="77"/>
      <c r="F457" s="77"/>
      <c r="G457" s="16" t="str">
        <f>VLOOKUP(B457,IF(A457="COMPOSICAO",S!$A:$D,I!$A:$D),3,FALSE)</f>
        <v>H</v>
      </c>
      <c r="H457" s="29">
        <v>4.3E-3</v>
      </c>
      <c r="I457" s="17">
        <f>IF(A457="COMPOSICAO",VLOOKUP("TOTAL - "&amp;B457,COMPOSICAO_AUX_2!$A:$J,10,FALSE),VLOOKUP(B457,I!$A:$D,4,FALSE))</f>
        <v>15.19</v>
      </c>
      <c r="J457" s="80">
        <f>TRUNC(H457*I457,2)</f>
        <v>0.06</v>
      </c>
      <c r="K457" s="81"/>
    </row>
    <row r="458" spans="1:13" ht="15" customHeight="1" x14ac:dyDescent="0.25">
      <c r="A458" s="16" t="s">
        <v>302</v>
      </c>
      <c r="B458" s="20">
        <v>88245</v>
      </c>
      <c r="C458" s="77" t="str">
        <f>VLOOKUP(B458,IF(A458="COMPOSICAO",S!$A:$D,I!$A:$D),2,FALSE)</f>
        <v>ARMADOR COM ENCARGOS COMPLEMENTARES</v>
      </c>
      <c r="D458" s="77"/>
      <c r="E458" s="77"/>
      <c r="F458" s="77"/>
      <c r="G458" s="16" t="str">
        <f>VLOOKUP(B458,IF(A458="COMPOSICAO",S!$A:$D,I!$A:$D),3,FALSE)</f>
        <v>H</v>
      </c>
      <c r="H458" s="29">
        <v>2.6100000000000002E-2</v>
      </c>
      <c r="I458" s="17">
        <f>IF(A458="COMPOSICAO",VLOOKUP("TOTAL - "&amp;B458,COMPOSICAO_AUX_2!$A:$J,10,FALSE),VLOOKUP(B458,I!$A:$D,4,FALSE))</f>
        <v>19.749999999999996</v>
      </c>
      <c r="J458" s="80">
        <f>TRUNC(H458*I458,2)</f>
        <v>0.51</v>
      </c>
      <c r="K458" s="81"/>
    </row>
    <row r="459" spans="1:13" ht="45" customHeight="1" x14ac:dyDescent="0.25">
      <c r="A459" s="16" t="s">
        <v>302</v>
      </c>
      <c r="B459" s="20">
        <v>92796</v>
      </c>
      <c r="C459" s="77" t="str">
        <f>VLOOKUP(B459,IF(A459="COMPOSICAO",S!$A:$D,I!$A:$D),2,FALSE)</f>
        <v>CORTE E DOBRA DE AÇO CA-50, DIÂMETRO DE 16,0 MM, UTILIZADO EM ESTRUTURAS DIVERSAS, EXCETO LAJES. AF_12/2015</v>
      </c>
      <c r="D459" s="77"/>
      <c r="E459" s="77"/>
      <c r="F459" s="77"/>
      <c r="G459" s="16" t="str">
        <f>VLOOKUP(B459,IF(A459="COMPOSICAO",S!$A:$D,I!$A:$D),3,FALSE)</f>
        <v>KG</v>
      </c>
      <c r="H459" s="17">
        <v>1</v>
      </c>
      <c r="I459" s="17">
        <f>IF(A459="COMPOSICAO",VLOOKUP("TOTAL - "&amp;B459,COMPOSICAO_AUX_2!$A:$J,10,FALSE),VLOOKUP(B459,I!$A:$D,4,FALSE))</f>
        <v>9.66</v>
      </c>
      <c r="J459" s="80">
        <f>TRUNC(H459*I459,2)</f>
        <v>9.66</v>
      </c>
      <c r="K459" s="81"/>
    </row>
    <row r="460" spans="1:13" ht="15" customHeight="1" x14ac:dyDescent="0.25">
      <c r="A460" s="23" t="s">
        <v>588</v>
      </c>
      <c r="B460" s="24"/>
      <c r="C460" s="24"/>
      <c r="D460" s="24"/>
      <c r="E460" s="24"/>
      <c r="F460" s="24"/>
      <c r="G460" s="25"/>
      <c r="H460" s="26"/>
      <c r="I460" s="27"/>
      <c r="J460" s="80">
        <f>SUM(J454:K459)</f>
        <v>10.83</v>
      </c>
      <c r="K460" s="81"/>
    </row>
    <row r="461" spans="1:13" ht="15" customHeight="1" x14ac:dyDescent="0.25">
      <c r="A461" s="3"/>
      <c r="B461" s="3"/>
      <c r="C461" s="3"/>
      <c r="D461" s="3"/>
      <c r="E461" s="3"/>
      <c r="F461" s="3"/>
      <c r="G461" s="3"/>
      <c r="H461" s="3"/>
      <c r="I461" s="3"/>
      <c r="J461" s="3"/>
      <c r="K461" s="3"/>
    </row>
    <row r="462" spans="1:13" ht="15" customHeight="1" x14ac:dyDescent="0.25">
      <c r="A462" s="10" t="s">
        <v>295</v>
      </c>
      <c r="B462" s="10" t="s">
        <v>31</v>
      </c>
      <c r="C462" s="82" t="s">
        <v>7</v>
      </c>
      <c r="D462" s="83"/>
      <c r="E462" s="83"/>
      <c r="F462" s="83"/>
      <c r="G462" s="6" t="s">
        <v>32</v>
      </c>
      <c r="H462" s="6" t="s">
        <v>296</v>
      </c>
      <c r="I462" s="6" t="s">
        <v>297</v>
      </c>
      <c r="J462" s="57" t="s">
        <v>9</v>
      </c>
      <c r="K462" s="58"/>
    </row>
    <row r="463" spans="1:13" ht="60" customHeight="1" x14ac:dyDescent="0.25">
      <c r="A463" s="6" t="s">
        <v>363</v>
      </c>
      <c r="B463" s="28">
        <v>92765</v>
      </c>
      <c r="C463" s="91" t="str">
        <f>VLOOKUP(B463,S!$A:$D,2,FALSE)</f>
        <v>ARMAÇÃO DE PILAR OU VIGA DE UMA ESTRUTURA CONVENCIONAL DE CONCRETO ARMADO EM UM EDIFÍCIO DE MÚLTIPLOS PAVIMENTOS UTILIZANDO AÇO CA-50 DE 20,0 MM - MONTAGEM. AF_12/2015</v>
      </c>
      <c r="D463" s="91"/>
      <c r="E463" s="91"/>
      <c r="F463" s="92"/>
      <c r="G463" s="6" t="str">
        <f>VLOOKUP(B463,S!$A:$D,3,FALSE)</f>
        <v>KG</v>
      </c>
      <c r="H463" s="21"/>
      <c r="I463" s="21">
        <f>J469</f>
        <v>12.330000000000002</v>
      </c>
      <c r="J463" s="76"/>
      <c r="K463" s="72"/>
      <c r="L463" s="21">
        <f>VLOOKUP(B463,S!$A:$D,4,FALSE)</f>
        <v>12.33</v>
      </c>
      <c r="M463" s="6" t="str">
        <f>IF(ROUND((L463-I463),2)=0,"OK, confere com a tabela.",IF(ROUND((L463-I463),2)&lt;0,"ACIMA ("&amp;TEXT(ROUND(I463*100/L463,4),"0,0000")&amp;" %) da tabela.","ABAIXO ("&amp;TEXT(ROUND(I463*100/L463,4),"0,0000")&amp;" %) da tabela."))</f>
        <v>OK, confere com a tabela.</v>
      </c>
    </row>
    <row r="464" spans="1:13" ht="45" customHeight="1" x14ac:dyDescent="0.25">
      <c r="A464" s="16" t="s">
        <v>306</v>
      </c>
      <c r="B464" s="20">
        <v>39017</v>
      </c>
      <c r="C464" s="77" t="str">
        <f>VLOOKUP(B464,IF(A464="COMPOSICAO",S!$A:$D,I!$A:$D),2,FALSE)</f>
        <v>ESPACADOR / DISTANCIADOR CIRCULAR COM ENTRADA LATERAL, EM PLASTICO, PARA VERGALHAO *4,2 A 12,5* MM, COBRIMENTO 20 MM</v>
      </c>
      <c r="D464" s="77"/>
      <c r="E464" s="77"/>
      <c r="F464" s="77"/>
      <c r="G464" s="16" t="str">
        <f>VLOOKUP(B464,IF(A464="COMPOSICAO",S!$A:$D,I!$A:$D),3,FALSE)</f>
        <v>UN</v>
      </c>
      <c r="H464" s="30">
        <v>0.113</v>
      </c>
      <c r="I464" s="17">
        <f>IF(A464="COMPOSICAO",VLOOKUP("TOTAL - "&amp;B464,COMPOSICAO_AUX_2!$A:$J,10,FALSE),VLOOKUP(B464,I!$A:$D,4,FALSE))</f>
        <v>0.21</v>
      </c>
      <c r="J464" s="80">
        <f>TRUNC(H464*I464,2)</f>
        <v>0.02</v>
      </c>
      <c r="K464" s="81"/>
    </row>
    <row r="465" spans="1:13" ht="30" customHeight="1" x14ac:dyDescent="0.25">
      <c r="A465" s="16" t="s">
        <v>306</v>
      </c>
      <c r="B465" s="20">
        <v>43132</v>
      </c>
      <c r="C465" s="77" t="str">
        <f>VLOOKUP(B465,IF(A465="COMPOSICAO",S!$A:$D,I!$A:$D),2,FALSE)</f>
        <v>ARAME RECOZIDO 16 BWG, D = 1,65 MM (0,016 KG/M) OU 18 BWG, D = 1,25 MM (0,01 KG/M)</v>
      </c>
      <c r="D465" s="77"/>
      <c r="E465" s="77"/>
      <c r="F465" s="77"/>
      <c r="G465" s="16" t="str">
        <f>VLOOKUP(B465,IF(A465="COMPOSICAO",S!$A:$D,I!$A:$D),3,FALSE)</f>
        <v>KG</v>
      </c>
      <c r="H465" s="30">
        <v>2.5000000000000001E-2</v>
      </c>
      <c r="I465" s="17">
        <f>IF(A465="COMPOSICAO",VLOOKUP("TOTAL - "&amp;B465,COMPOSICAO_AUX_2!$A:$J,10,FALSE),VLOOKUP(B465,I!$A:$D,4,FALSE))</f>
        <v>22.75</v>
      </c>
      <c r="J465" s="80">
        <f>TRUNC(H465*I465,2)</f>
        <v>0.56000000000000005</v>
      </c>
      <c r="K465" s="81"/>
    </row>
    <row r="466" spans="1:13" ht="30" customHeight="1" x14ac:dyDescent="0.25">
      <c r="A466" s="16" t="s">
        <v>302</v>
      </c>
      <c r="B466" s="20">
        <v>88238</v>
      </c>
      <c r="C466" s="77" t="str">
        <f>VLOOKUP(B466,IF(A466="COMPOSICAO",S!$A:$D,I!$A:$D),2,FALSE)</f>
        <v>AJUDANTE DE ARMADOR COM ENCARGOS COMPLEMENTARES</v>
      </c>
      <c r="D466" s="77"/>
      <c r="E466" s="77"/>
      <c r="F466" s="77"/>
      <c r="G466" s="16" t="str">
        <f>VLOOKUP(B466,IF(A466="COMPOSICAO",S!$A:$D,I!$A:$D),3,FALSE)</f>
        <v>H</v>
      </c>
      <c r="H466" s="29">
        <v>2.8E-3</v>
      </c>
      <c r="I466" s="17">
        <f>IF(A466="COMPOSICAO",VLOOKUP("TOTAL - "&amp;B466,COMPOSICAO_AUX_2!$A:$J,10,FALSE),VLOOKUP(B466,I!$A:$D,4,FALSE))</f>
        <v>15.19</v>
      </c>
      <c r="J466" s="80">
        <f>TRUNC(H466*I466,2)</f>
        <v>0.04</v>
      </c>
      <c r="K466" s="81"/>
    </row>
    <row r="467" spans="1:13" ht="15" customHeight="1" x14ac:dyDescent="0.25">
      <c r="A467" s="16" t="s">
        <v>302</v>
      </c>
      <c r="B467" s="20">
        <v>88245</v>
      </c>
      <c r="C467" s="77" t="str">
        <f>VLOOKUP(B467,IF(A467="COMPOSICAO",S!$A:$D,I!$A:$D),2,FALSE)</f>
        <v>ARMADOR COM ENCARGOS COMPLEMENTARES</v>
      </c>
      <c r="D467" s="77"/>
      <c r="E467" s="77"/>
      <c r="F467" s="77"/>
      <c r="G467" s="16" t="str">
        <f>VLOOKUP(B467,IF(A467="COMPOSICAO",S!$A:$D,I!$A:$D),3,FALSE)</f>
        <v>H</v>
      </c>
      <c r="H467" s="29">
        <v>1.72E-2</v>
      </c>
      <c r="I467" s="17">
        <f>IF(A467="COMPOSICAO",VLOOKUP("TOTAL - "&amp;B467,COMPOSICAO_AUX_2!$A:$J,10,FALSE),VLOOKUP(B467,I!$A:$D,4,FALSE))</f>
        <v>19.749999999999996</v>
      </c>
      <c r="J467" s="80">
        <f>TRUNC(H467*I467,2)</f>
        <v>0.33</v>
      </c>
      <c r="K467" s="81"/>
    </row>
    <row r="468" spans="1:13" ht="45" customHeight="1" x14ac:dyDescent="0.25">
      <c r="A468" s="16" t="s">
        <v>302</v>
      </c>
      <c r="B468" s="20">
        <v>92797</v>
      </c>
      <c r="C468" s="77" t="str">
        <f>VLOOKUP(B468,IF(A468="COMPOSICAO",S!$A:$D,I!$A:$D),2,FALSE)</f>
        <v>CORTE E DOBRA DE AÇO CA-50, DIÂMETRO DE 20,0 MM, UTILIZADO EM ESTRUTURAS DIVERSAS, EXCETO LAJES. AF_12/2015</v>
      </c>
      <c r="D468" s="77"/>
      <c r="E468" s="77"/>
      <c r="F468" s="77"/>
      <c r="G468" s="16" t="str">
        <f>VLOOKUP(B468,IF(A468="COMPOSICAO",S!$A:$D,I!$A:$D),3,FALSE)</f>
        <v>KG</v>
      </c>
      <c r="H468" s="17">
        <v>1</v>
      </c>
      <c r="I468" s="17">
        <f>IF(A468="COMPOSICAO",VLOOKUP("TOTAL - "&amp;B468,COMPOSICAO_AUX_2!$A:$J,10,FALSE),VLOOKUP(B468,I!$A:$D,4,FALSE))</f>
        <v>11.379999999999999</v>
      </c>
      <c r="J468" s="80">
        <f>TRUNC(H468*I468,2)</f>
        <v>11.38</v>
      </c>
      <c r="K468" s="81"/>
    </row>
    <row r="469" spans="1:13" ht="15" customHeight="1" x14ac:dyDescent="0.25">
      <c r="A469" s="23" t="s">
        <v>589</v>
      </c>
      <c r="B469" s="24"/>
      <c r="C469" s="24"/>
      <c r="D469" s="24"/>
      <c r="E469" s="24"/>
      <c r="F469" s="24"/>
      <c r="G469" s="25"/>
      <c r="H469" s="26"/>
      <c r="I469" s="27"/>
      <c r="J469" s="80">
        <f>SUM(J463:K468)</f>
        <v>12.330000000000002</v>
      </c>
      <c r="K469" s="81"/>
    </row>
    <row r="470" spans="1:13" ht="15" customHeight="1" x14ac:dyDescent="0.25">
      <c r="A470" s="3"/>
      <c r="B470" s="3"/>
      <c r="C470" s="3"/>
      <c r="D470" s="3"/>
      <c r="E470" s="3"/>
      <c r="F470" s="3"/>
      <c r="G470" s="3"/>
      <c r="H470" s="3"/>
      <c r="I470" s="3"/>
      <c r="J470" s="3"/>
      <c r="K470" s="3"/>
    </row>
    <row r="471" spans="1:13" ht="15" customHeight="1" x14ac:dyDescent="0.25">
      <c r="A471" s="10" t="s">
        <v>295</v>
      </c>
      <c r="B471" s="10" t="s">
        <v>31</v>
      </c>
      <c r="C471" s="82" t="s">
        <v>7</v>
      </c>
      <c r="D471" s="83"/>
      <c r="E471" s="83"/>
      <c r="F471" s="83"/>
      <c r="G471" s="6" t="s">
        <v>32</v>
      </c>
      <c r="H471" s="6" t="s">
        <v>296</v>
      </c>
      <c r="I471" s="6" t="s">
        <v>297</v>
      </c>
      <c r="J471" s="57" t="s">
        <v>9</v>
      </c>
      <c r="K471" s="58"/>
    </row>
    <row r="472" spans="1:13" ht="60" customHeight="1" x14ac:dyDescent="0.25">
      <c r="A472" s="6" t="s">
        <v>363</v>
      </c>
      <c r="B472" s="28">
        <v>92766</v>
      </c>
      <c r="C472" s="91" t="str">
        <f>VLOOKUP(B472,S!$A:$D,2,FALSE)</f>
        <v>ARMAÇÃO DE PILAR OU VIGA DE UMA ESTRUTURA CONVENCIONAL DE CONCRETO ARMADO EM UM EDIFÍCIO DE MÚLTIPLOS PAVIMENTOS UTILIZANDO AÇO CA-50 DE 25,0 MM - MONTAGEM. AF_12/2015</v>
      </c>
      <c r="D472" s="91"/>
      <c r="E472" s="91"/>
      <c r="F472" s="92"/>
      <c r="G472" s="6" t="str">
        <f>VLOOKUP(B472,S!$A:$D,3,FALSE)</f>
        <v>KG</v>
      </c>
      <c r="H472" s="21"/>
      <c r="I472" s="21">
        <f>J477</f>
        <v>12.139999999999999</v>
      </c>
      <c r="J472" s="76"/>
      <c r="K472" s="72"/>
      <c r="L472" s="21">
        <f>VLOOKUP(B472,S!$A:$D,4,FALSE)</f>
        <v>12.14</v>
      </c>
      <c r="M472" s="6" t="str">
        <f>IF(ROUND((L472-I472),2)=0,"OK, confere com a tabela.",IF(ROUND((L472-I472),2)&lt;0,"ACIMA ("&amp;TEXT(ROUND(I472*100/L472,4),"0,0000")&amp;" %) da tabela.","ABAIXO ("&amp;TEXT(ROUND(I472*100/L472,4),"0,0000")&amp;" %) da tabela."))</f>
        <v>OK, confere com a tabela.</v>
      </c>
    </row>
    <row r="473" spans="1:13" ht="30" customHeight="1" x14ac:dyDescent="0.25">
      <c r="A473" s="16" t="s">
        <v>306</v>
      </c>
      <c r="B473" s="20">
        <v>43132</v>
      </c>
      <c r="C473" s="77" t="str">
        <f>VLOOKUP(B473,IF(A473="COMPOSICAO",S!$A:$D,I!$A:$D),2,FALSE)</f>
        <v>ARAME RECOZIDO 16 BWG, D = 1,65 MM (0,016 KG/M) OU 18 BWG, D = 1,25 MM (0,01 KG/M)</v>
      </c>
      <c r="D473" s="77"/>
      <c r="E473" s="77"/>
      <c r="F473" s="77"/>
      <c r="G473" s="16" t="str">
        <f>VLOOKUP(B473,IF(A473="COMPOSICAO",S!$A:$D,I!$A:$D),3,FALSE)</f>
        <v>KG</v>
      </c>
      <c r="H473" s="30">
        <v>2.5000000000000001E-2</v>
      </c>
      <c r="I473" s="17">
        <f>IF(A473="COMPOSICAO",VLOOKUP("TOTAL - "&amp;B473,COMPOSICAO_AUX_2!$A:$J,10,FALSE),VLOOKUP(B473,I!$A:$D,4,FALSE))</f>
        <v>22.75</v>
      </c>
      <c r="J473" s="80">
        <f>TRUNC(H473*I473,2)</f>
        <v>0.56000000000000005</v>
      </c>
      <c r="K473" s="81"/>
    </row>
    <row r="474" spans="1:13" ht="30" customHeight="1" x14ac:dyDescent="0.25">
      <c r="A474" s="16" t="s">
        <v>302</v>
      </c>
      <c r="B474" s="20">
        <v>88238</v>
      </c>
      <c r="C474" s="77" t="str">
        <f>VLOOKUP(B474,IF(A474="COMPOSICAO",S!$A:$D,I!$A:$D),2,FALSE)</f>
        <v>AJUDANTE DE ARMADOR COM ENCARGOS COMPLEMENTARES</v>
      </c>
      <c r="D474" s="77"/>
      <c r="E474" s="77"/>
      <c r="F474" s="77"/>
      <c r="G474" s="16" t="str">
        <f>VLOOKUP(B474,IF(A474="COMPOSICAO",S!$A:$D,I!$A:$D),3,FALSE)</f>
        <v>H</v>
      </c>
      <c r="H474" s="29">
        <v>1.6000000000000001E-3</v>
      </c>
      <c r="I474" s="17">
        <f>IF(A474="COMPOSICAO",VLOOKUP("TOTAL - "&amp;B474,COMPOSICAO_AUX_2!$A:$J,10,FALSE),VLOOKUP(B474,I!$A:$D,4,FALSE))</f>
        <v>15.19</v>
      </c>
      <c r="J474" s="80">
        <f>TRUNC(H474*I474,2)</f>
        <v>0.02</v>
      </c>
      <c r="K474" s="81"/>
    </row>
    <row r="475" spans="1:13" ht="15" customHeight="1" x14ac:dyDescent="0.25">
      <c r="A475" s="16" t="s">
        <v>302</v>
      </c>
      <c r="B475" s="20">
        <v>88245</v>
      </c>
      <c r="C475" s="77" t="str">
        <f>VLOOKUP(B475,IF(A475="COMPOSICAO",S!$A:$D,I!$A:$D),2,FALSE)</f>
        <v>ARMADOR COM ENCARGOS COMPLEMENTARES</v>
      </c>
      <c r="D475" s="77"/>
      <c r="E475" s="77"/>
      <c r="F475" s="77"/>
      <c r="G475" s="16" t="str">
        <f>VLOOKUP(B475,IF(A475="COMPOSICAO",S!$A:$D,I!$A:$D),3,FALSE)</f>
        <v>H</v>
      </c>
      <c r="H475" s="29">
        <v>1.01E-2</v>
      </c>
      <c r="I475" s="17">
        <f>IF(A475="COMPOSICAO",VLOOKUP("TOTAL - "&amp;B475,COMPOSICAO_AUX_2!$A:$J,10,FALSE),VLOOKUP(B475,I!$A:$D,4,FALSE))</f>
        <v>19.749999999999996</v>
      </c>
      <c r="J475" s="80">
        <f>TRUNC(H475*I475,2)</f>
        <v>0.19</v>
      </c>
      <c r="K475" s="81"/>
    </row>
    <row r="476" spans="1:13" ht="45" customHeight="1" x14ac:dyDescent="0.25">
      <c r="A476" s="16" t="s">
        <v>302</v>
      </c>
      <c r="B476" s="20">
        <v>92798</v>
      </c>
      <c r="C476" s="77" t="str">
        <f>VLOOKUP(B476,IF(A476="COMPOSICAO",S!$A:$D,I!$A:$D),2,FALSE)</f>
        <v>CORTE E DOBRA DE AÇO CA-50, DIÂMETRO DE 25,0 MM, UTILIZADO EM ESTRUTURAS DIVERSAS, EXCETO LAJES. AF_12/2015</v>
      </c>
      <c r="D476" s="77"/>
      <c r="E476" s="77"/>
      <c r="F476" s="77"/>
      <c r="G476" s="16" t="str">
        <f>VLOOKUP(B476,IF(A476="COMPOSICAO",S!$A:$D,I!$A:$D),3,FALSE)</f>
        <v>KG</v>
      </c>
      <c r="H476" s="17">
        <v>1</v>
      </c>
      <c r="I476" s="17">
        <f>IF(A476="COMPOSICAO",VLOOKUP("TOTAL - "&amp;B476,COMPOSICAO_AUX_2!$A:$J,10,FALSE),VLOOKUP(B476,I!$A:$D,4,FALSE))</f>
        <v>11.37</v>
      </c>
      <c r="J476" s="80">
        <f>TRUNC(H476*I476,2)</f>
        <v>11.37</v>
      </c>
      <c r="K476" s="81"/>
    </row>
    <row r="477" spans="1:13" ht="15" customHeight="1" x14ac:dyDescent="0.25">
      <c r="A477" s="23" t="s">
        <v>590</v>
      </c>
      <c r="B477" s="24"/>
      <c r="C477" s="24"/>
      <c r="D477" s="24"/>
      <c r="E477" s="24"/>
      <c r="F477" s="24"/>
      <c r="G477" s="25"/>
      <c r="H477" s="26"/>
      <c r="I477" s="27"/>
      <c r="J477" s="80">
        <f>SUM(J472:K476)</f>
        <v>12.139999999999999</v>
      </c>
      <c r="K477" s="81"/>
    </row>
    <row r="478" spans="1:13" ht="15" customHeight="1" x14ac:dyDescent="0.25">
      <c r="A478" s="3"/>
      <c r="B478" s="3"/>
      <c r="C478" s="3"/>
      <c r="D478" s="3"/>
      <c r="E478" s="3"/>
      <c r="F478" s="3"/>
      <c r="G478" s="3"/>
      <c r="H478" s="3"/>
      <c r="I478" s="3"/>
      <c r="J478" s="3"/>
      <c r="K478" s="3"/>
    </row>
    <row r="479" spans="1:13" ht="15" customHeight="1" x14ac:dyDescent="0.25">
      <c r="A479" s="10" t="s">
        <v>295</v>
      </c>
      <c r="B479" s="10" t="s">
        <v>31</v>
      </c>
      <c r="C479" s="82" t="s">
        <v>7</v>
      </c>
      <c r="D479" s="83"/>
      <c r="E479" s="83"/>
      <c r="F479" s="83"/>
      <c r="G479" s="6" t="s">
        <v>32</v>
      </c>
      <c r="H479" s="6" t="s">
        <v>296</v>
      </c>
      <c r="I479" s="6" t="s">
        <v>297</v>
      </c>
      <c r="J479" s="57" t="s">
        <v>9</v>
      </c>
      <c r="K479" s="58"/>
    </row>
    <row r="480" spans="1:13" ht="60" customHeight="1" x14ac:dyDescent="0.25">
      <c r="A480" s="6" t="s">
        <v>363</v>
      </c>
      <c r="B480" s="28">
        <v>92768</v>
      </c>
      <c r="C480" s="91" t="str">
        <f>VLOOKUP(B480,S!$A:$D,2,FALSE)</f>
        <v>ARMAÇÃO DE LAJE DE UMA ESTRUTURA CONVENCIONAL DE CONCRETO ARMADO EM UM EDIFÍCIO DE MÚLTIPLOS PAVIMENTOS UTILIZANDO AÇO CA-60 DE 5,0 MM - MONTAGEM. AF_12/2015</v>
      </c>
      <c r="D480" s="91"/>
      <c r="E480" s="91"/>
      <c r="F480" s="92"/>
      <c r="G480" s="6" t="str">
        <f>VLOOKUP(B480,S!$A:$D,3,FALSE)</f>
        <v>KG</v>
      </c>
      <c r="H480" s="21"/>
      <c r="I480" s="21">
        <f>J486</f>
        <v>14.25</v>
      </c>
      <c r="J480" s="76"/>
      <c r="K480" s="72"/>
      <c r="L480" s="21">
        <f>VLOOKUP(B480,S!$A:$D,4,FALSE)</f>
        <v>14.25</v>
      </c>
      <c r="M480" s="6" t="str">
        <f>IF(ROUND((L480-I480),2)=0,"OK, confere com a tabela.",IF(ROUND((L480-I480),2)&lt;0,"ACIMA ("&amp;TEXT(ROUND(I480*100/L480,4),"0,0000")&amp;" %) da tabela.","ABAIXO ("&amp;TEXT(ROUND(I480*100/L480,4),"0,0000")&amp;" %) da tabela."))</f>
        <v>OK, confere com a tabela.</v>
      </c>
    </row>
    <row r="481" spans="1:13" ht="45" customHeight="1" x14ac:dyDescent="0.25">
      <c r="A481" s="16" t="s">
        <v>306</v>
      </c>
      <c r="B481" s="20">
        <v>39017</v>
      </c>
      <c r="C481" s="77" t="str">
        <f>VLOOKUP(B481,IF(A481="COMPOSICAO",S!$A:$D,I!$A:$D),2,FALSE)</f>
        <v>ESPACADOR / DISTANCIADOR CIRCULAR COM ENTRADA LATERAL, EM PLASTICO, PARA VERGALHAO *4,2 A 12,5* MM, COBRIMENTO 20 MM</v>
      </c>
      <c r="D481" s="77"/>
      <c r="E481" s="77"/>
      <c r="F481" s="77"/>
      <c r="G481" s="16" t="str">
        <f>VLOOKUP(B481,IF(A481="COMPOSICAO",S!$A:$D,I!$A:$D),3,FALSE)</f>
        <v>UN</v>
      </c>
      <c r="H481" s="30">
        <v>2.1179999999999999</v>
      </c>
      <c r="I481" s="17">
        <f>IF(A481="COMPOSICAO",VLOOKUP("TOTAL - "&amp;B481,COMPOSICAO_AUX_2!$A:$J,10,FALSE),VLOOKUP(B481,I!$A:$D,4,FALSE))</f>
        <v>0.21</v>
      </c>
      <c r="J481" s="80">
        <f>TRUNC(H481*I481,2)</f>
        <v>0.44</v>
      </c>
      <c r="K481" s="81"/>
    </row>
    <row r="482" spans="1:13" ht="30" customHeight="1" x14ac:dyDescent="0.25">
      <c r="A482" s="16" t="s">
        <v>306</v>
      </c>
      <c r="B482" s="20">
        <v>43132</v>
      </c>
      <c r="C482" s="77" t="str">
        <f>VLOOKUP(B482,IF(A482="COMPOSICAO",S!$A:$D,I!$A:$D),2,FALSE)</f>
        <v>ARAME RECOZIDO 16 BWG, D = 1,65 MM (0,016 KG/M) OU 18 BWG, D = 1,25 MM (0,01 KG/M)</v>
      </c>
      <c r="D482" s="77"/>
      <c r="E482" s="77"/>
      <c r="F482" s="77"/>
      <c r="G482" s="16" t="str">
        <f>VLOOKUP(B482,IF(A482="COMPOSICAO",S!$A:$D,I!$A:$D),3,FALSE)</f>
        <v>KG</v>
      </c>
      <c r="H482" s="30">
        <v>2.5000000000000001E-2</v>
      </c>
      <c r="I482" s="17">
        <f>IF(A482="COMPOSICAO",VLOOKUP("TOTAL - "&amp;B482,COMPOSICAO_AUX_2!$A:$J,10,FALSE),VLOOKUP(B482,I!$A:$D,4,FALSE))</f>
        <v>22.75</v>
      </c>
      <c r="J482" s="80">
        <f>TRUNC(H482*I482,2)</f>
        <v>0.56000000000000005</v>
      </c>
      <c r="K482" s="81"/>
    </row>
    <row r="483" spans="1:13" ht="30" customHeight="1" x14ac:dyDescent="0.25">
      <c r="A483" s="16" t="s">
        <v>302</v>
      </c>
      <c r="B483" s="20">
        <v>88238</v>
      </c>
      <c r="C483" s="77" t="str">
        <f>VLOOKUP(B483,IF(A483="COMPOSICAO",S!$A:$D,I!$A:$D),2,FALSE)</f>
        <v>AJUDANTE DE ARMADOR COM ENCARGOS COMPLEMENTARES</v>
      </c>
      <c r="D483" s="77"/>
      <c r="E483" s="77"/>
      <c r="F483" s="77"/>
      <c r="G483" s="16" t="str">
        <f>VLOOKUP(B483,IF(A483="COMPOSICAO",S!$A:$D,I!$A:$D),3,FALSE)</f>
        <v>H</v>
      </c>
      <c r="H483" s="30">
        <v>1.4E-2</v>
      </c>
      <c r="I483" s="17">
        <f>IF(A483="COMPOSICAO",VLOOKUP("TOTAL - "&amp;B483,COMPOSICAO_AUX_2!$A:$J,10,FALSE),VLOOKUP(B483,I!$A:$D,4,FALSE))</f>
        <v>15.19</v>
      </c>
      <c r="J483" s="80">
        <f>TRUNC(H483*I483,2)</f>
        <v>0.21</v>
      </c>
      <c r="K483" s="81"/>
    </row>
    <row r="484" spans="1:13" ht="15" customHeight="1" x14ac:dyDescent="0.25">
      <c r="A484" s="16" t="s">
        <v>302</v>
      </c>
      <c r="B484" s="20">
        <v>88245</v>
      </c>
      <c r="C484" s="77" t="str">
        <f>VLOOKUP(B484,IF(A484="COMPOSICAO",S!$A:$D,I!$A:$D),2,FALSE)</f>
        <v>ARMADOR COM ENCARGOS COMPLEMENTARES</v>
      </c>
      <c r="D484" s="77"/>
      <c r="E484" s="77"/>
      <c r="F484" s="77"/>
      <c r="G484" s="16" t="str">
        <f>VLOOKUP(B484,IF(A484="COMPOSICAO",S!$A:$D,I!$A:$D),3,FALSE)</f>
        <v>H</v>
      </c>
      <c r="H484" s="29">
        <v>8.5500000000000007E-2</v>
      </c>
      <c r="I484" s="17">
        <f>IF(A484="COMPOSICAO",VLOOKUP("TOTAL - "&amp;B484,COMPOSICAO_AUX_2!$A:$J,10,FALSE),VLOOKUP(B484,I!$A:$D,4,FALSE))</f>
        <v>19.749999999999996</v>
      </c>
      <c r="J484" s="80">
        <f>TRUNC(H484*I484,2)</f>
        <v>1.68</v>
      </c>
      <c r="K484" s="81"/>
    </row>
    <row r="485" spans="1:13" ht="30" customHeight="1" x14ac:dyDescent="0.25">
      <c r="A485" s="16" t="s">
        <v>302</v>
      </c>
      <c r="B485" s="20">
        <v>92800</v>
      </c>
      <c r="C485" s="77" t="str">
        <f>VLOOKUP(B485,IF(A485="COMPOSICAO",S!$A:$D,I!$A:$D),2,FALSE)</f>
        <v>CORTE E DOBRA DE AÇO CA-60, DIÂMETRO DE 5,0 MM, UTILIZADO EM LAJE. AF_12/2015</v>
      </c>
      <c r="D485" s="77"/>
      <c r="E485" s="77"/>
      <c r="F485" s="77"/>
      <c r="G485" s="16" t="str">
        <f>VLOOKUP(B485,IF(A485="COMPOSICAO",S!$A:$D,I!$A:$D),3,FALSE)</f>
        <v>KG</v>
      </c>
      <c r="H485" s="17">
        <v>1</v>
      </c>
      <c r="I485" s="17">
        <f>IF(A485="COMPOSICAO",VLOOKUP("TOTAL - "&amp;B485,COMPOSICAO_AUX_2!$A:$J,10,FALSE),VLOOKUP(B485,I!$A:$D,4,FALSE))</f>
        <v>11.36</v>
      </c>
      <c r="J485" s="80">
        <f>TRUNC(H485*I485,2)</f>
        <v>11.36</v>
      </c>
      <c r="K485" s="81"/>
    </row>
    <row r="486" spans="1:13" ht="15" customHeight="1" x14ac:dyDescent="0.25">
      <c r="A486" s="23" t="s">
        <v>591</v>
      </c>
      <c r="B486" s="24"/>
      <c r="C486" s="24"/>
      <c r="D486" s="24"/>
      <c r="E486" s="24"/>
      <c r="F486" s="24"/>
      <c r="G486" s="25"/>
      <c r="H486" s="26"/>
      <c r="I486" s="27"/>
      <c r="J486" s="80">
        <f>SUM(J480:K485)</f>
        <v>14.25</v>
      </c>
      <c r="K486" s="81"/>
    </row>
    <row r="487" spans="1:13" ht="15" customHeight="1" x14ac:dyDescent="0.25">
      <c r="A487" s="3"/>
      <c r="B487" s="3"/>
      <c r="C487" s="3"/>
      <c r="D487" s="3"/>
      <c r="E487" s="3"/>
      <c r="F487" s="3"/>
      <c r="G487" s="3"/>
      <c r="H487" s="3"/>
      <c r="I487" s="3"/>
      <c r="J487" s="3"/>
      <c r="K487" s="3"/>
    </row>
    <row r="488" spans="1:13" ht="15" customHeight="1" x14ac:dyDescent="0.25">
      <c r="A488" s="10" t="s">
        <v>295</v>
      </c>
      <c r="B488" s="10" t="s">
        <v>31</v>
      </c>
      <c r="C488" s="82" t="s">
        <v>7</v>
      </c>
      <c r="D488" s="83"/>
      <c r="E488" s="83"/>
      <c r="F488" s="83"/>
      <c r="G488" s="6" t="s">
        <v>32</v>
      </c>
      <c r="H488" s="6" t="s">
        <v>296</v>
      </c>
      <c r="I488" s="6" t="s">
        <v>297</v>
      </c>
      <c r="J488" s="57" t="s">
        <v>9</v>
      </c>
      <c r="K488" s="58"/>
    </row>
    <row r="489" spans="1:13" ht="60" customHeight="1" x14ac:dyDescent="0.25">
      <c r="A489" s="6" t="s">
        <v>363</v>
      </c>
      <c r="B489" s="28">
        <v>92769</v>
      </c>
      <c r="C489" s="91" t="str">
        <f>VLOOKUP(B489,S!$A:$D,2,FALSE)</f>
        <v>ARMAÇÃO DE LAJE DE UMA ESTRUTURA CONVENCIONAL DE CONCRETO ARMADO EM UM EDIFÍCIO DE MÚLTIPLOS PAVIMENTOS UTILIZANDO AÇO CA-50 DE 6,3 MM - MONTAGEM. AF_12/2015</v>
      </c>
      <c r="D489" s="91"/>
      <c r="E489" s="91"/>
      <c r="F489" s="92"/>
      <c r="G489" s="6" t="str">
        <f>VLOOKUP(B489,S!$A:$D,3,FALSE)</f>
        <v>KG</v>
      </c>
      <c r="H489" s="21"/>
      <c r="I489" s="21">
        <f>J495</f>
        <v>14.17</v>
      </c>
      <c r="J489" s="76"/>
      <c r="K489" s="72"/>
      <c r="L489" s="21">
        <f>VLOOKUP(B489,S!$A:$D,4,FALSE)</f>
        <v>14.17</v>
      </c>
      <c r="M489" s="6" t="str">
        <f>IF(ROUND((L489-I489),2)=0,"OK, confere com a tabela.",IF(ROUND((L489-I489),2)&lt;0,"ACIMA ("&amp;TEXT(ROUND(I489*100/L489,4),"0,0000")&amp;" %) da tabela.","ABAIXO ("&amp;TEXT(ROUND(I489*100/L489,4),"0,0000")&amp;" %) da tabela."))</f>
        <v>OK, confere com a tabela.</v>
      </c>
    </row>
    <row r="490" spans="1:13" ht="45" customHeight="1" x14ac:dyDescent="0.25">
      <c r="A490" s="16" t="s">
        <v>306</v>
      </c>
      <c r="B490" s="20">
        <v>39017</v>
      </c>
      <c r="C490" s="77" t="str">
        <f>VLOOKUP(B490,IF(A490="COMPOSICAO",S!$A:$D,I!$A:$D),2,FALSE)</f>
        <v>ESPACADOR / DISTANCIADOR CIRCULAR COM ENTRADA LATERAL, EM PLASTICO, PARA VERGALHAO *4,2 A 12,5* MM, COBRIMENTO 20 MM</v>
      </c>
      <c r="D490" s="77"/>
      <c r="E490" s="77"/>
      <c r="F490" s="77"/>
      <c r="G490" s="16" t="str">
        <f>VLOOKUP(B490,IF(A490="COMPOSICAO",S!$A:$D,I!$A:$D),3,FALSE)</f>
        <v>UN</v>
      </c>
      <c r="H490" s="30">
        <v>1.333</v>
      </c>
      <c r="I490" s="17">
        <f>IF(A490="COMPOSICAO",VLOOKUP("TOTAL - "&amp;B490,COMPOSICAO_AUX_2!$A:$J,10,FALSE),VLOOKUP(B490,I!$A:$D,4,FALSE))</f>
        <v>0.21</v>
      </c>
      <c r="J490" s="80">
        <f>TRUNC(H490*I490,2)</f>
        <v>0.27</v>
      </c>
      <c r="K490" s="81"/>
    </row>
    <row r="491" spans="1:13" ht="30" customHeight="1" x14ac:dyDescent="0.25">
      <c r="A491" s="16" t="s">
        <v>306</v>
      </c>
      <c r="B491" s="20">
        <v>43132</v>
      </c>
      <c r="C491" s="77" t="str">
        <f>VLOOKUP(B491,IF(A491="COMPOSICAO",S!$A:$D,I!$A:$D),2,FALSE)</f>
        <v>ARAME RECOZIDO 16 BWG, D = 1,65 MM (0,016 KG/M) OU 18 BWG, D = 1,25 MM (0,01 KG/M)</v>
      </c>
      <c r="D491" s="77"/>
      <c r="E491" s="77"/>
      <c r="F491" s="77"/>
      <c r="G491" s="16" t="str">
        <f>VLOOKUP(B491,IF(A491="COMPOSICAO",S!$A:$D,I!$A:$D),3,FALSE)</f>
        <v>KG</v>
      </c>
      <c r="H491" s="30">
        <v>2.5000000000000001E-2</v>
      </c>
      <c r="I491" s="17">
        <f>IF(A491="COMPOSICAO",VLOOKUP("TOTAL - "&amp;B491,COMPOSICAO_AUX_2!$A:$J,10,FALSE),VLOOKUP(B491,I!$A:$D,4,FALSE))</f>
        <v>22.75</v>
      </c>
      <c r="J491" s="80">
        <f>TRUNC(H491*I491,2)</f>
        <v>0.56000000000000005</v>
      </c>
      <c r="K491" s="81"/>
    </row>
    <row r="492" spans="1:13" ht="30" customHeight="1" x14ac:dyDescent="0.25">
      <c r="A492" s="16" t="s">
        <v>302</v>
      </c>
      <c r="B492" s="20">
        <v>88238</v>
      </c>
      <c r="C492" s="77" t="str">
        <f>VLOOKUP(B492,IF(A492="COMPOSICAO",S!$A:$D,I!$A:$D),2,FALSE)</f>
        <v>AJUDANTE DE ARMADOR COM ENCARGOS COMPLEMENTARES</v>
      </c>
      <c r="D492" s="77"/>
      <c r="E492" s="77"/>
      <c r="F492" s="77"/>
      <c r="G492" s="16" t="str">
        <f>VLOOKUP(B492,IF(A492="COMPOSICAO",S!$A:$D,I!$A:$D),3,FALSE)</f>
        <v>H</v>
      </c>
      <c r="H492" s="29">
        <v>1.0500000000000001E-2</v>
      </c>
      <c r="I492" s="17">
        <f>IF(A492="COMPOSICAO",VLOOKUP("TOTAL - "&amp;B492,COMPOSICAO_AUX_2!$A:$J,10,FALSE),VLOOKUP(B492,I!$A:$D,4,FALSE))</f>
        <v>15.19</v>
      </c>
      <c r="J492" s="80">
        <f>TRUNC(H492*I492,2)</f>
        <v>0.15</v>
      </c>
      <c r="K492" s="81"/>
    </row>
    <row r="493" spans="1:13" ht="15" customHeight="1" x14ac:dyDescent="0.25">
      <c r="A493" s="16" t="s">
        <v>302</v>
      </c>
      <c r="B493" s="20">
        <v>88245</v>
      </c>
      <c r="C493" s="77" t="str">
        <f>VLOOKUP(B493,IF(A493="COMPOSICAO",S!$A:$D,I!$A:$D),2,FALSE)</f>
        <v>ARMADOR COM ENCARGOS COMPLEMENTARES</v>
      </c>
      <c r="D493" s="77"/>
      <c r="E493" s="77"/>
      <c r="F493" s="77"/>
      <c r="G493" s="16" t="str">
        <f>VLOOKUP(B493,IF(A493="COMPOSICAO",S!$A:$D,I!$A:$D),3,FALSE)</f>
        <v>H</v>
      </c>
      <c r="H493" s="29">
        <v>6.4600000000000005E-2</v>
      </c>
      <c r="I493" s="17">
        <f>IF(A493="COMPOSICAO",VLOOKUP("TOTAL - "&amp;B493,COMPOSICAO_AUX_2!$A:$J,10,FALSE),VLOOKUP(B493,I!$A:$D,4,FALSE))</f>
        <v>19.749999999999996</v>
      </c>
      <c r="J493" s="80">
        <f>TRUNC(H493*I493,2)</f>
        <v>1.27</v>
      </c>
      <c r="K493" s="81"/>
    </row>
    <row r="494" spans="1:13" ht="30" customHeight="1" x14ac:dyDescent="0.25">
      <c r="A494" s="16" t="s">
        <v>302</v>
      </c>
      <c r="B494" s="20">
        <v>92801</v>
      </c>
      <c r="C494" s="77" t="str">
        <f>VLOOKUP(B494,IF(A494="COMPOSICAO",S!$A:$D,I!$A:$D),2,FALSE)</f>
        <v>CORTE E DOBRA DE AÇO CA-50, DIÂMETRO DE 6,3 MM, UTILIZADO EM LAJE. AF_12/2015</v>
      </c>
      <c r="D494" s="77"/>
      <c r="E494" s="77"/>
      <c r="F494" s="77"/>
      <c r="G494" s="16" t="str">
        <f>VLOOKUP(B494,IF(A494="COMPOSICAO",S!$A:$D,I!$A:$D),3,FALSE)</f>
        <v>KG</v>
      </c>
      <c r="H494" s="17">
        <v>1</v>
      </c>
      <c r="I494" s="17">
        <f>IF(A494="COMPOSICAO",VLOOKUP("TOTAL - "&amp;B494,COMPOSICAO_AUX_2!$A:$J,10,FALSE),VLOOKUP(B494,I!$A:$D,4,FALSE))</f>
        <v>11.92</v>
      </c>
      <c r="J494" s="80">
        <f>TRUNC(H494*I494,2)</f>
        <v>11.92</v>
      </c>
      <c r="K494" s="81"/>
    </row>
    <row r="495" spans="1:13" ht="15" customHeight="1" x14ac:dyDescent="0.25">
      <c r="A495" s="23" t="s">
        <v>592</v>
      </c>
      <c r="B495" s="24"/>
      <c r="C495" s="24"/>
      <c r="D495" s="24"/>
      <c r="E495" s="24"/>
      <c r="F495" s="24"/>
      <c r="G495" s="25"/>
      <c r="H495" s="26"/>
      <c r="I495" s="27"/>
      <c r="J495" s="80">
        <f>SUM(J489:K494)</f>
        <v>14.17</v>
      </c>
      <c r="K495" s="81"/>
    </row>
    <row r="496" spans="1:13" ht="15" customHeight="1" x14ac:dyDescent="0.25">
      <c r="A496" s="3"/>
      <c r="B496" s="3"/>
      <c r="C496" s="3"/>
      <c r="D496" s="3"/>
      <c r="E496" s="3"/>
      <c r="F496" s="3"/>
      <c r="G496" s="3"/>
      <c r="H496" s="3"/>
      <c r="I496" s="3"/>
      <c r="J496" s="3"/>
      <c r="K496" s="3"/>
    </row>
    <row r="497" spans="1:13" ht="15" customHeight="1" x14ac:dyDescent="0.25">
      <c r="A497" s="10" t="s">
        <v>295</v>
      </c>
      <c r="B497" s="10" t="s">
        <v>31</v>
      </c>
      <c r="C497" s="82" t="s">
        <v>7</v>
      </c>
      <c r="D497" s="83"/>
      <c r="E497" s="83"/>
      <c r="F497" s="83"/>
      <c r="G497" s="6" t="s">
        <v>32</v>
      </c>
      <c r="H497" s="6" t="s">
        <v>296</v>
      </c>
      <c r="I497" s="6" t="s">
        <v>297</v>
      </c>
      <c r="J497" s="57" t="s">
        <v>9</v>
      </c>
      <c r="K497" s="58"/>
    </row>
    <row r="498" spans="1:13" ht="60" customHeight="1" x14ac:dyDescent="0.25">
      <c r="A498" s="6" t="s">
        <v>363</v>
      </c>
      <c r="B498" s="28">
        <v>92770</v>
      </c>
      <c r="C498" s="91" t="str">
        <f>VLOOKUP(B498,S!$A:$D,2,FALSE)</f>
        <v>ARMAÇÃO DE LAJE DE UMA ESTRUTURA CONVENCIONAL DE CONCRETO ARMADO EM UM EDIFÍCIO DE MÚLTIPLOS PAVIMENTOS UTILIZANDO AÇO CA-50 DE 8,0 MM - MONTAGEM. AF_12/2015</v>
      </c>
      <c r="D498" s="91"/>
      <c r="E498" s="91"/>
      <c r="F498" s="92"/>
      <c r="G498" s="6" t="str">
        <f>VLOOKUP(B498,S!$A:$D,3,FALSE)</f>
        <v>KG</v>
      </c>
      <c r="H498" s="21"/>
      <c r="I498" s="21">
        <f>J504</f>
        <v>13.83</v>
      </c>
      <c r="J498" s="76"/>
      <c r="K498" s="72"/>
      <c r="L498" s="21">
        <f>VLOOKUP(B498,S!$A:$D,4,FALSE)</f>
        <v>13.83</v>
      </c>
      <c r="M498" s="6" t="str">
        <f>IF(ROUND((L498-I498),2)=0,"OK, confere com a tabela.",IF(ROUND((L498-I498),2)&lt;0,"ACIMA ("&amp;TEXT(ROUND(I498*100/L498,4),"0,0000")&amp;" %) da tabela.","ABAIXO ("&amp;TEXT(ROUND(I498*100/L498,4),"0,0000")&amp;" %) da tabela."))</f>
        <v>OK, confere com a tabela.</v>
      </c>
    </row>
    <row r="499" spans="1:13" ht="45" customHeight="1" x14ac:dyDescent="0.25">
      <c r="A499" s="16" t="s">
        <v>306</v>
      </c>
      <c r="B499" s="20">
        <v>39017</v>
      </c>
      <c r="C499" s="77" t="str">
        <f>VLOOKUP(B499,IF(A499="COMPOSICAO",S!$A:$D,I!$A:$D),2,FALSE)</f>
        <v>ESPACADOR / DISTANCIADOR CIRCULAR COM ENTRADA LATERAL, EM PLASTICO, PARA VERGALHAO *4,2 A 12,5* MM, COBRIMENTO 20 MM</v>
      </c>
      <c r="D499" s="77"/>
      <c r="E499" s="77"/>
      <c r="F499" s="77"/>
      <c r="G499" s="16" t="str">
        <f>VLOOKUP(B499,IF(A499="COMPOSICAO",S!$A:$D,I!$A:$D),3,FALSE)</f>
        <v>UN</v>
      </c>
      <c r="H499" s="30">
        <v>0.72799999999999998</v>
      </c>
      <c r="I499" s="17">
        <f>IF(A499="COMPOSICAO",VLOOKUP("TOTAL - "&amp;B499,COMPOSICAO_AUX_2!$A:$J,10,FALSE),VLOOKUP(B499,I!$A:$D,4,FALSE))</f>
        <v>0.21</v>
      </c>
      <c r="J499" s="80">
        <f>TRUNC(H499*I499,2)</f>
        <v>0.15</v>
      </c>
      <c r="K499" s="81"/>
    </row>
    <row r="500" spans="1:13" ht="30" customHeight="1" x14ac:dyDescent="0.25">
      <c r="A500" s="16" t="s">
        <v>306</v>
      </c>
      <c r="B500" s="20">
        <v>43132</v>
      </c>
      <c r="C500" s="77" t="str">
        <f>VLOOKUP(B500,IF(A500="COMPOSICAO",S!$A:$D,I!$A:$D),2,FALSE)</f>
        <v>ARAME RECOZIDO 16 BWG, D = 1,65 MM (0,016 KG/M) OU 18 BWG, D = 1,25 MM (0,01 KG/M)</v>
      </c>
      <c r="D500" s="77"/>
      <c r="E500" s="77"/>
      <c r="F500" s="77"/>
      <c r="G500" s="16" t="str">
        <f>VLOOKUP(B500,IF(A500="COMPOSICAO",S!$A:$D,I!$A:$D),3,FALSE)</f>
        <v>KG</v>
      </c>
      <c r="H500" s="30">
        <v>2.5000000000000001E-2</v>
      </c>
      <c r="I500" s="17">
        <f>IF(A500="COMPOSICAO",VLOOKUP("TOTAL - "&amp;B500,COMPOSICAO_AUX_2!$A:$J,10,FALSE),VLOOKUP(B500,I!$A:$D,4,FALSE))</f>
        <v>22.75</v>
      </c>
      <c r="J500" s="80">
        <f>TRUNC(H500*I500,2)</f>
        <v>0.56000000000000005</v>
      </c>
      <c r="K500" s="81"/>
    </row>
    <row r="501" spans="1:13" ht="30" customHeight="1" x14ac:dyDescent="0.25">
      <c r="A501" s="16" t="s">
        <v>302</v>
      </c>
      <c r="B501" s="20">
        <v>88238</v>
      </c>
      <c r="C501" s="77" t="str">
        <f>VLOOKUP(B501,IF(A501="COMPOSICAO",S!$A:$D,I!$A:$D),2,FALSE)</f>
        <v>AJUDANTE DE ARMADOR COM ENCARGOS COMPLEMENTARES</v>
      </c>
      <c r="D501" s="77"/>
      <c r="E501" s="77"/>
      <c r="F501" s="77"/>
      <c r="G501" s="16" t="str">
        <f>VLOOKUP(B501,IF(A501="COMPOSICAO",S!$A:$D,I!$A:$D),3,FALSE)</f>
        <v>H</v>
      </c>
      <c r="H501" s="29">
        <v>7.7999999999999996E-3</v>
      </c>
      <c r="I501" s="17">
        <f>IF(A501="COMPOSICAO",VLOOKUP("TOTAL - "&amp;B501,COMPOSICAO_AUX_2!$A:$J,10,FALSE),VLOOKUP(B501,I!$A:$D,4,FALSE))</f>
        <v>15.19</v>
      </c>
      <c r="J501" s="80">
        <f>TRUNC(H501*I501,2)</f>
        <v>0.11</v>
      </c>
      <c r="K501" s="81"/>
    </row>
    <row r="502" spans="1:13" ht="15" customHeight="1" x14ac:dyDescent="0.25">
      <c r="A502" s="16" t="s">
        <v>302</v>
      </c>
      <c r="B502" s="20">
        <v>88245</v>
      </c>
      <c r="C502" s="77" t="str">
        <f>VLOOKUP(B502,IF(A502="COMPOSICAO",S!$A:$D,I!$A:$D),2,FALSE)</f>
        <v>ARMADOR COM ENCARGOS COMPLEMENTARES</v>
      </c>
      <c r="D502" s="77"/>
      <c r="E502" s="77"/>
      <c r="F502" s="77"/>
      <c r="G502" s="16" t="str">
        <f>VLOOKUP(B502,IF(A502="COMPOSICAO",S!$A:$D,I!$A:$D),3,FALSE)</f>
        <v>H</v>
      </c>
      <c r="H502" s="29">
        <v>4.7500000000000001E-2</v>
      </c>
      <c r="I502" s="17">
        <f>IF(A502="COMPOSICAO",VLOOKUP("TOTAL - "&amp;B502,COMPOSICAO_AUX_2!$A:$J,10,FALSE),VLOOKUP(B502,I!$A:$D,4,FALSE))</f>
        <v>19.749999999999996</v>
      </c>
      <c r="J502" s="80">
        <f>TRUNC(H502*I502,2)</f>
        <v>0.93</v>
      </c>
      <c r="K502" s="81"/>
    </row>
    <row r="503" spans="1:13" ht="30" customHeight="1" x14ac:dyDescent="0.25">
      <c r="A503" s="16" t="s">
        <v>302</v>
      </c>
      <c r="B503" s="20">
        <v>92802</v>
      </c>
      <c r="C503" s="77" t="str">
        <f>VLOOKUP(B503,IF(A503="COMPOSICAO",S!$A:$D,I!$A:$D),2,FALSE)</f>
        <v>CORTE E DOBRA DE AÇO CA-50, DIÂMETRO DE 8,0 MM, UTILIZADO EM LAJE. AF_12/2015</v>
      </c>
      <c r="D503" s="77"/>
      <c r="E503" s="77"/>
      <c r="F503" s="77"/>
      <c r="G503" s="16" t="str">
        <f>VLOOKUP(B503,IF(A503="COMPOSICAO",S!$A:$D,I!$A:$D),3,FALSE)</f>
        <v>KG</v>
      </c>
      <c r="H503" s="17">
        <v>1</v>
      </c>
      <c r="I503" s="17">
        <f>IF(A503="COMPOSICAO",VLOOKUP("TOTAL - "&amp;B503,COMPOSICAO_AUX_2!$A:$J,10,FALSE),VLOOKUP(B503,I!$A:$D,4,FALSE))</f>
        <v>12.08</v>
      </c>
      <c r="J503" s="80">
        <f>TRUNC(H503*I503,2)</f>
        <v>12.08</v>
      </c>
      <c r="K503" s="81"/>
    </row>
    <row r="504" spans="1:13" ht="15" customHeight="1" x14ac:dyDescent="0.25">
      <c r="A504" s="23" t="s">
        <v>593</v>
      </c>
      <c r="B504" s="24"/>
      <c r="C504" s="24"/>
      <c r="D504" s="24"/>
      <c r="E504" s="24"/>
      <c r="F504" s="24"/>
      <c r="G504" s="25"/>
      <c r="H504" s="26"/>
      <c r="I504" s="27"/>
      <c r="J504" s="80">
        <f>SUM(J498:K503)</f>
        <v>13.83</v>
      </c>
      <c r="K504" s="81"/>
    </row>
    <row r="505" spans="1:13" ht="15" customHeight="1" x14ac:dyDescent="0.25">
      <c r="A505" s="3"/>
      <c r="B505" s="3"/>
      <c r="C505" s="3"/>
      <c r="D505" s="3"/>
      <c r="E505" s="3"/>
      <c r="F505" s="3"/>
      <c r="G505" s="3"/>
      <c r="H505" s="3"/>
      <c r="I505" s="3"/>
      <c r="J505" s="3"/>
      <c r="K505" s="3"/>
    </row>
    <row r="506" spans="1:13" ht="15" customHeight="1" x14ac:dyDescent="0.25">
      <c r="A506" s="10" t="s">
        <v>295</v>
      </c>
      <c r="B506" s="10" t="s">
        <v>31</v>
      </c>
      <c r="C506" s="82" t="s">
        <v>7</v>
      </c>
      <c r="D506" s="83"/>
      <c r="E506" s="83"/>
      <c r="F506" s="83"/>
      <c r="G506" s="6" t="s">
        <v>32</v>
      </c>
      <c r="H506" s="6" t="s">
        <v>296</v>
      </c>
      <c r="I506" s="6" t="s">
        <v>297</v>
      </c>
      <c r="J506" s="57" t="s">
        <v>9</v>
      </c>
      <c r="K506" s="58"/>
    </row>
    <row r="507" spans="1:13" ht="45" customHeight="1" x14ac:dyDescent="0.25">
      <c r="A507" s="6" t="s">
        <v>363</v>
      </c>
      <c r="B507" s="28">
        <v>92874</v>
      </c>
      <c r="C507" s="91" t="str">
        <f>VLOOKUP(B507,S!$A:$D,2,FALSE)</f>
        <v>LANÇAMENTO COM USO DE BOMBA, ADENSAMENTO E ACABAMENTO DE CONCRETO EM ESTRUTURAS. AF_12/2015</v>
      </c>
      <c r="D507" s="91"/>
      <c r="E507" s="91"/>
      <c r="F507" s="92"/>
      <c r="G507" s="6" t="str">
        <f>VLOOKUP(B507,S!$A:$D,3,FALSE)</f>
        <v>M3</v>
      </c>
      <c r="H507" s="21"/>
      <c r="I507" s="21">
        <f>J513</f>
        <v>26.31</v>
      </c>
      <c r="J507" s="76"/>
      <c r="K507" s="72"/>
      <c r="L507" s="21">
        <f>VLOOKUP(B507,S!$A:$D,4,FALSE)</f>
        <v>26.31</v>
      </c>
      <c r="M507" s="6" t="str">
        <f>IF(ROUND((L507-I507),2)=0,"OK, confere com a tabela.",IF(ROUND((L507-I507),2)&lt;0,"ACIMA ("&amp;TEXT(ROUND(I507*100/L507,4),"0,0000")&amp;" %) da tabela.","ABAIXO ("&amp;TEXT(ROUND(I507*100/L507,4),"0,0000")&amp;" %) da tabela."))</f>
        <v>OK, confere com a tabela.</v>
      </c>
    </row>
    <row r="508" spans="1:13" ht="30" customHeight="1" x14ac:dyDescent="0.25">
      <c r="A508" s="16" t="s">
        <v>302</v>
      </c>
      <c r="B508" s="20">
        <v>88262</v>
      </c>
      <c r="C508" s="77" t="str">
        <f>VLOOKUP(B508,IF(A508="COMPOSICAO",S!$A:$D,I!$A:$D),2,FALSE)</f>
        <v>CARPINTEIRO DE FORMAS COM ENCARGOS COMPLEMENTARES</v>
      </c>
      <c r="D508" s="77"/>
      <c r="E508" s="77"/>
      <c r="F508" s="77"/>
      <c r="G508" s="16" t="str">
        <f>VLOOKUP(B508,IF(A508="COMPOSICAO",S!$A:$D,I!$A:$D),3,FALSE)</f>
        <v>H</v>
      </c>
      <c r="H508" s="30">
        <v>0.19900000000000001</v>
      </c>
      <c r="I508" s="17">
        <f>IF(A508="COMPOSICAO",VLOOKUP("TOTAL - "&amp;B508,COMPOSICAO_AUX_2!$A:$J,10,FALSE),VLOOKUP(B508,I!$A:$D,4,FALSE))</f>
        <v>19.649999999999999</v>
      </c>
      <c r="J508" s="80">
        <f>TRUNC(H508*I508,2)</f>
        <v>3.91</v>
      </c>
      <c r="K508" s="81"/>
    </row>
    <row r="509" spans="1:13" ht="15" customHeight="1" x14ac:dyDescent="0.25">
      <c r="A509" s="16" t="s">
        <v>302</v>
      </c>
      <c r="B509" s="20">
        <v>88309</v>
      </c>
      <c r="C509" s="77" t="str">
        <f>VLOOKUP(B509,IF(A509="COMPOSICAO",S!$A:$D,I!$A:$D),2,FALSE)</f>
        <v>PEDREIRO COM ENCARGOS COMPLEMENTARES</v>
      </c>
      <c r="D509" s="77"/>
      <c r="E509" s="77"/>
      <c r="F509" s="77"/>
      <c r="G509" s="16" t="str">
        <f>VLOOKUP(B509,IF(A509="COMPOSICAO",S!$A:$D,I!$A:$D),3,FALSE)</f>
        <v>H</v>
      </c>
      <c r="H509" s="30">
        <v>0.19900000000000001</v>
      </c>
      <c r="I509" s="17">
        <f>IF(A509="COMPOSICAO",VLOOKUP("TOTAL - "&amp;B509,COMPOSICAO_AUX_2!$A:$J,10,FALSE),VLOOKUP(B509,I!$A:$D,4,FALSE))</f>
        <v>19.849999999999994</v>
      </c>
      <c r="J509" s="80">
        <f>TRUNC(H509*I509,2)</f>
        <v>3.95</v>
      </c>
      <c r="K509" s="81"/>
    </row>
    <row r="510" spans="1:13" ht="15" customHeight="1" x14ac:dyDescent="0.25">
      <c r="A510" s="16" t="s">
        <v>302</v>
      </c>
      <c r="B510" s="20">
        <v>88316</v>
      </c>
      <c r="C510" s="77" t="str">
        <f>VLOOKUP(B510,IF(A510="COMPOSICAO",S!$A:$D,I!$A:$D),2,FALSE)</f>
        <v>SERVENTE COM ENCARGOS COMPLEMENTARES</v>
      </c>
      <c r="D510" s="77"/>
      <c r="E510" s="77"/>
      <c r="F510" s="77"/>
      <c r="G510" s="16" t="str">
        <f>VLOOKUP(B510,IF(A510="COMPOSICAO",S!$A:$D,I!$A:$D),3,FALSE)</f>
        <v>H</v>
      </c>
      <c r="H510" s="30">
        <v>1.1919999999999999</v>
      </c>
      <c r="I510" s="17">
        <f>IF(A510="COMPOSICAO",VLOOKUP("TOTAL - "&amp;B510,COMPOSICAO_AUX_2!$A:$J,10,FALSE),VLOOKUP(B510,I!$A:$D,4,FALSE))</f>
        <v>15.35</v>
      </c>
      <c r="J510" s="80">
        <f>TRUNC(H510*I510,2)</f>
        <v>18.29</v>
      </c>
      <c r="K510" s="81"/>
    </row>
    <row r="511" spans="1:13" ht="45" customHeight="1" x14ac:dyDescent="0.25">
      <c r="A511" s="16" t="s">
        <v>302</v>
      </c>
      <c r="B511" s="20">
        <v>90586</v>
      </c>
      <c r="C511" s="77" t="str">
        <f>VLOOKUP(B511,IF(A511="COMPOSICAO",S!$A:$D,I!$A:$D),2,FALSE)</f>
        <v>VIBRADOR DE IMERSÃO, DIÂMETRO DE PONTEIRA 45MM, MOTOR ELÉTRICO TRIFÁSICO POTÊNCIA DE 2 CV - CHP DIURNO. AF_06/2015</v>
      </c>
      <c r="D511" s="77"/>
      <c r="E511" s="77"/>
      <c r="F511" s="77"/>
      <c r="G511" s="16" t="str">
        <f>VLOOKUP(B511,IF(A511="COMPOSICAO",S!$A:$D,I!$A:$D),3,FALSE)</f>
        <v>CHP</v>
      </c>
      <c r="H511" s="30">
        <v>6.8000000000000005E-2</v>
      </c>
      <c r="I511" s="17">
        <f>IF(A511="COMPOSICAO",VLOOKUP("TOTAL - "&amp;B511,COMPOSICAO_AUX_2!$A:$J,10,FALSE),VLOOKUP(B511,I!$A:$D,4,FALSE))</f>
        <v>1.7</v>
      </c>
      <c r="J511" s="80">
        <f>TRUNC(H511*I511,2)</f>
        <v>0.11</v>
      </c>
      <c r="K511" s="81"/>
    </row>
    <row r="512" spans="1:13" ht="45" customHeight="1" x14ac:dyDescent="0.25">
      <c r="A512" s="16" t="s">
        <v>302</v>
      </c>
      <c r="B512" s="20">
        <v>90587</v>
      </c>
      <c r="C512" s="77" t="str">
        <f>VLOOKUP(B512,IF(A512="COMPOSICAO",S!$A:$D,I!$A:$D),2,FALSE)</f>
        <v>VIBRADOR DE IMERSÃO, DIÂMETRO DE PONTEIRA 45MM, MOTOR ELÉTRICO TRIFÁSICO POTÊNCIA DE 2 CV - CHI DIURNO. AF_06/2015</v>
      </c>
      <c r="D512" s="77"/>
      <c r="E512" s="77"/>
      <c r="F512" s="77"/>
      <c r="G512" s="16" t="str">
        <f>VLOOKUP(B512,IF(A512="COMPOSICAO",S!$A:$D,I!$A:$D),3,FALSE)</f>
        <v>CHI</v>
      </c>
      <c r="H512" s="30">
        <v>0.13100000000000001</v>
      </c>
      <c r="I512" s="17">
        <f>IF(A512="COMPOSICAO",VLOOKUP("TOTAL - "&amp;B512,COMPOSICAO_AUX_2!$A:$J,10,FALSE),VLOOKUP(B512,I!$A:$D,4,FALSE))</f>
        <v>0.44</v>
      </c>
      <c r="J512" s="80">
        <f>TRUNC(H512*I512,2)</f>
        <v>0.05</v>
      </c>
      <c r="K512" s="81"/>
    </row>
    <row r="513" spans="1:13" ht="15" customHeight="1" x14ac:dyDescent="0.25">
      <c r="A513" s="23" t="s">
        <v>594</v>
      </c>
      <c r="B513" s="24"/>
      <c r="C513" s="24"/>
      <c r="D513" s="24"/>
      <c r="E513" s="24"/>
      <c r="F513" s="24"/>
      <c r="G513" s="25"/>
      <c r="H513" s="26"/>
      <c r="I513" s="27"/>
      <c r="J513" s="80">
        <f>SUM(J507:K512)</f>
        <v>26.31</v>
      </c>
      <c r="K513" s="81"/>
    </row>
    <row r="514" spans="1:13" ht="15" customHeight="1" x14ac:dyDescent="0.25">
      <c r="A514" s="3"/>
      <c r="B514" s="3"/>
      <c r="C514" s="3"/>
      <c r="D514" s="3"/>
      <c r="E514" s="3"/>
      <c r="F514" s="3"/>
      <c r="G514" s="3"/>
      <c r="H514" s="3"/>
      <c r="I514" s="3"/>
      <c r="J514" s="3"/>
      <c r="K514" s="3"/>
    </row>
    <row r="515" spans="1:13" ht="15" customHeight="1" x14ac:dyDescent="0.25">
      <c r="A515" s="10" t="s">
        <v>295</v>
      </c>
      <c r="B515" s="10" t="s">
        <v>31</v>
      </c>
      <c r="C515" s="82" t="s">
        <v>7</v>
      </c>
      <c r="D515" s="83"/>
      <c r="E515" s="83"/>
      <c r="F515" s="83"/>
      <c r="G515" s="6" t="s">
        <v>32</v>
      </c>
      <c r="H515" s="6" t="s">
        <v>296</v>
      </c>
      <c r="I515" s="6" t="s">
        <v>297</v>
      </c>
      <c r="J515" s="57" t="s">
        <v>9</v>
      </c>
      <c r="K515" s="58"/>
    </row>
    <row r="516" spans="1:13" ht="45" customHeight="1" x14ac:dyDescent="0.25">
      <c r="A516" s="6" t="s">
        <v>363</v>
      </c>
      <c r="B516" s="28">
        <v>95944</v>
      </c>
      <c r="C516" s="91" t="str">
        <f>VLOOKUP(B516,S!$A:$D,2,FALSE)</f>
        <v>ARMAÇÃO DE ESCADA, DE UMA ESTRUTURA CONVENCIONAL DE CONCRETO ARMADO UTILIZANDO AÇO CA-50 DE 6,3 MM - MONTAGEM. AF_11/2020</v>
      </c>
      <c r="D516" s="91"/>
      <c r="E516" s="91"/>
      <c r="F516" s="92"/>
      <c r="G516" s="6" t="str">
        <f>VLOOKUP(B516,S!$A:$D,3,FALSE)</f>
        <v>KG</v>
      </c>
      <c r="H516" s="21"/>
      <c r="I516" s="21">
        <f>J522</f>
        <v>19.22</v>
      </c>
      <c r="J516" s="76"/>
      <c r="K516" s="72"/>
      <c r="L516" s="21">
        <f>VLOOKUP(B516,S!$A:$D,4,FALSE)</f>
        <v>19.22</v>
      </c>
      <c r="M516" s="6" t="str">
        <f>IF(ROUND((L516-I516),2)=0,"OK, confere com a tabela.",IF(ROUND((L516-I516),2)&lt;0,"ACIMA ("&amp;TEXT(ROUND(I516*100/L516,4),"0,0000")&amp;" %) da tabela.","ABAIXO ("&amp;TEXT(ROUND(I516*100/L516,4),"0,0000")&amp;" %) da tabela."))</f>
        <v>OK, confere com a tabela.</v>
      </c>
    </row>
    <row r="517" spans="1:13" ht="45" customHeight="1" x14ac:dyDescent="0.25">
      <c r="A517" s="16" t="s">
        <v>306</v>
      </c>
      <c r="B517" s="20">
        <v>39017</v>
      </c>
      <c r="C517" s="77" t="str">
        <f>VLOOKUP(B517,IF(A517="COMPOSICAO",S!$A:$D,I!$A:$D),2,FALSE)</f>
        <v>ESPACADOR / DISTANCIADOR CIRCULAR COM ENTRADA LATERAL, EM PLASTICO, PARA VERGALHAO *4,2 A 12,5* MM, COBRIMENTO 20 MM</v>
      </c>
      <c r="D517" s="77"/>
      <c r="E517" s="77"/>
      <c r="F517" s="77"/>
      <c r="G517" s="16" t="str">
        <f>VLOOKUP(B517,IF(A517="COMPOSICAO",S!$A:$D,I!$A:$D),3,FALSE)</f>
        <v>UN</v>
      </c>
      <c r="H517" s="30">
        <v>0.82699999999999996</v>
      </c>
      <c r="I517" s="17">
        <f>IF(A517="COMPOSICAO",VLOOKUP("TOTAL - "&amp;B517,COMPOSICAO_AUX_2!$A:$J,10,FALSE),VLOOKUP(B517,I!$A:$D,4,FALSE))</f>
        <v>0.21</v>
      </c>
      <c r="J517" s="80">
        <f>TRUNC(H517*I517,2)</f>
        <v>0.17</v>
      </c>
      <c r="K517" s="81"/>
    </row>
    <row r="518" spans="1:13" ht="30" customHeight="1" x14ac:dyDescent="0.25">
      <c r="A518" s="16" t="s">
        <v>306</v>
      </c>
      <c r="B518" s="20">
        <v>43132</v>
      </c>
      <c r="C518" s="77" t="str">
        <f>VLOOKUP(B518,IF(A518="COMPOSICAO",S!$A:$D,I!$A:$D),2,FALSE)</f>
        <v>ARAME RECOZIDO 16 BWG, D = 1,65 MM (0,016 KG/M) OU 18 BWG, D = 1,25 MM (0,01 KG/M)</v>
      </c>
      <c r="D518" s="77"/>
      <c r="E518" s="77"/>
      <c r="F518" s="77"/>
      <c r="G518" s="16" t="str">
        <f>VLOOKUP(B518,IF(A518="COMPOSICAO",S!$A:$D,I!$A:$D),3,FALSE)</f>
        <v>KG</v>
      </c>
      <c r="H518" s="30">
        <v>2.5000000000000001E-2</v>
      </c>
      <c r="I518" s="17">
        <f>IF(A518="COMPOSICAO",VLOOKUP("TOTAL - "&amp;B518,COMPOSICAO_AUX_2!$A:$J,10,FALSE),VLOOKUP(B518,I!$A:$D,4,FALSE))</f>
        <v>22.75</v>
      </c>
      <c r="J518" s="80">
        <f>TRUNC(H518*I518,2)</f>
        <v>0.56000000000000005</v>
      </c>
      <c r="K518" s="81"/>
    </row>
    <row r="519" spans="1:13" ht="30" customHeight="1" x14ac:dyDescent="0.25">
      <c r="A519" s="16" t="s">
        <v>302</v>
      </c>
      <c r="B519" s="20">
        <v>88238</v>
      </c>
      <c r="C519" s="77" t="str">
        <f>VLOOKUP(B519,IF(A519="COMPOSICAO",S!$A:$D,I!$A:$D),2,FALSE)</f>
        <v>AJUDANTE DE ARMADOR COM ENCARGOS COMPLEMENTARES</v>
      </c>
      <c r="D519" s="77"/>
      <c r="E519" s="77"/>
      <c r="F519" s="77"/>
      <c r="G519" s="16" t="str">
        <f>VLOOKUP(B519,IF(A519="COMPOSICAO",S!$A:$D,I!$A:$D),3,FALSE)</f>
        <v>H</v>
      </c>
      <c r="H519" s="30">
        <v>4.7E-2</v>
      </c>
      <c r="I519" s="17">
        <f>IF(A519="COMPOSICAO",VLOOKUP("TOTAL - "&amp;B519,COMPOSICAO_AUX_2!$A:$J,10,FALSE),VLOOKUP(B519,I!$A:$D,4,FALSE))</f>
        <v>15.19</v>
      </c>
      <c r="J519" s="80">
        <f>TRUNC(H519*I519,2)</f>
        <v>0.71</v>
      </c>
      <c r="K519" s="81"/>
    </row>
    <row r="520" spans="1:13" ht="15" customHeight="1" x14ac:dyDescent="0.25">
      <c r="A520" s="16" t="s">
        <v>302</v>
      </c>
      <c r="B520" s="20">
        <v>88245</v>
      </c>
      <c r="C520" s="77" t="str">
        <f>VLOOKUP(B520,IF(A520="COMPOSICAO",S!$A:$D,I!$A:$D),2,FALSE)</f>
        <v>ARMADOR COM ENCARGOS COMPLEMENTARES</v>
      </c>
      <c r="D520" s="77"/>
      <c r="E520" s="77"/>
      <c r="F520" s="77"/>
      <c r="G520" s="16" t="str">
        <f>VLOOKUP(B520,IF(A520="COMPOSICAO",S!$A:$D,I!$A:$D),3,FALSE)</f>
        <v>H</v>
      </c>
      <c r="H520" s="30">
        <v>0.29699999999999999</v>
      </c>
      <c r="I520" s="17">
        <f>IF(A520="COMPOSICAO",VLOOKUP("TOTAL - "&amp;B520,COMPOSICAO_AUX_2!$A:$J,10,FALSE),VLOOKUP(B520,I!$A:$D,4,FALSE))</f>
        <v>19.749999999999996</v>
      </c>
      <c r="J520" s="80">
        <f>TRUNC(H520*I520,2)</f>
        <v>5.86</v>
      </c>
      <c r="K520" s="81"/>
    </row>
    <row r="521" spans="1:13" ht="30" customHeight="1" x14ac:dyDescent="0.25">
      <c r="A521" s="16" t="s">
        <v>302</v>
      </c>
      <c r="B521" s="20">
        <v>92801</v>
      </c>
      <c r="C521" s="77" t="str">
        <f>VLOOKUP(B521,IF(A521="COMPOSICAO",S!$A:$D,I!$A:$D),2,FALSE)</f>
        <v>CORTE E DOBRA DE AÇO CA-50, DIÂMETRO DE 6,3 MM, UTILIZADO EM LAJE. AF_12/2015</v>
      </c>
      <c r="D521" s="77"/>
      <c r="E521" s="77"/>
      <c r="F521" s="77"/>
      <c r="G521" s="16" t="str">
        <f>VLOOKUP(B521,IF(A521="COMPOSICAO",S!$A:$D,I!$A:$D),3,FALSE)</f>
        <v>KG</v>
      </c>
      <c r="H521" s="17">
        <v>1</v>
      </c>
      <c r="I521" s="17">
        <f>IF(A521="COMPOSICAO",VLOOKUP("TOTAL - "&amp;B521,COMPOSICAO_AUX_2!$A:$J,10,FALSE),VLOOKUP(B521,I!$A:$D,4,FALSE))</f>
        <v>11.92</v>
      </c>
      <c r="J521" s="80">
        <f>TRUNC(H521*I521,2)</f>
        <v>11.92</v>
      </c>
      <c r="K521" s="81"/>
    </row>
    <row r="522" spans="1:13" ht="15" customHeight="1" x14ac:dyDescent="0.25">
      <c r="A522" s="23" t="s">
        <v>595</v>
      </c>
      <c r="B522" s="24"/>
      <c r="C522" s="24"/>
      <c r="D522" s="24"/>
      <c r="E522" s="24"/>
      <c r="F522" s="24"/>
      <c r="G522" s="25"/>
      <c r="H522" s="26"/>
      <c r="I522" s="27"/>
      <c r="J522" s="80">
        <f>SUM(J516:K521)</f>
        <v>19.22</v>
      </c>
      <c r="K522" s="81"/>
    </row>
    <row r="523" spans="1:13" ht="15" customHeight="1" x14ac:dyDescent="0.25">
      <c r="A523" s="3"/>
      <c r="B523" s="3"/>
      <c r="C523" s="3"/>
      <c r="D523" s="3"/>
      <c r="E523" s="3"/>
      <c r="F523" s="3"/>
      <c r="G523" s="3"/>
      <c r="H523" s="3"/>
      <c r="I523" s="3"/>
      <c r="J523" s="3"/>
      <c r="K523" s="3"/>
    </row>
    <row r="524" spans="1:13" ht="15" customHeight="1" x14ac:dyDescent="0.25">
      <c r="A524" s="10" t="s">
        <v>295</v>
      </c>
      <c r="B524" s="10" t="s">
        <v>31</v>
      </c>
      <c r="C524" s="82" t="s">
        <v>7</v>
      </c>
      <c r="D524" s="83"/>
      <c r="E524" s="83"/>
      <c r="F524" s="83"/>
      <c r="G524" s="6" t="s">
        <v>32</v>
      </c>
      <c r="H524" s="6" t="s">
        <v>296</v>
      </c>
      <c r="I524" s="6" t="s">
        <v>297</v>
      </c>
      <c r="J524" s="57" t="s">
        <v>9</v>
      </c>
      <c r="K524" s="58"/>
    </row>
    <row r="525" spans="1:13" ht="45" customHeight="1" x14ac:dyDescent="0.25">
      <c r="A525" s="6" t="s">
        <v>363</v>
      </c>
      <c r="B525" s="28">
        <v>95945</v>
      </c>
      <c r="C525" s="91" t="str">
        <f>VLOOKUP(B525,S!$A:$D,2,FALSE)</f>
        <v>ARMAÇÃO DE ESCADA, DE UMA ESTRUTURA CONVENCIONAL DE CONCRETO ARMADO UTILIZANDO AÇO CA-50 DE 8,0 MM - MONTAGEM. AF_11/2020</v>
      </c>
      <c r="D525" s="91"/>
      <c r="E525" s="91"/>
      <c r="F525" s="92"/>
      <c r="G525" s="6" t="str">
        <f>VLOOKUP(B525,S!$A:$D,3,FALSE)</f>
        <v>KG</v>
      </c>
      <c r="H525" s="21"/>
      <c r="I525" s="21">
        <f>J531</f>
        <v>16.630000000000003</v>
      </c>
      <c r="J525" s="76"/>
      <c r="K525" s="72"/>
      <c r="L525" s="21">
        <f>VLOOKUP(B525,S!$A:$D,4,FALSE)</f>
        <v>16.63</v>
      </c>
      <c r="M525" s="6" t="str">
        <f>IF(ROUND((L525-I525),2)=0,"OK, confere com a tabela.",IF(ROUND((L525-I525),2)&lt;0,"ACIMA ("&amp;TEXT(ROUND(I525*100/L525,4),"0,0000")&amp;" %) da tabela.","ABAIXO ("&amp;TEXT(ROUND(I525*100/L525,4),"0,0000")&amp;" %) da tabela."))</f>
        <v>OK, confere com a tabela.</v>
      </c>
    </row>
    <row r="526" spans="1:13" ht="45" customHeight="1" x14ac:dyDescent="0.25">
      <c r="A526" s="16" t="s">
        <v>306</v>
      </c>
      <c r="B526" s="20">
        <v>39017</v>
      </c>
      <c r="C526" s="77" t="str">
        <f>VLOOKUP(B526,IF(A526="COMPOSICAO",S!$A:$D,I!$A:$D),2,FALSE)</f>
        <v>ESPACADOR / DISTANCIADOR CIRCULAR COM ENTRADA LATERAL, EM PLASTICO, PARA VERGALHAO *4,2 A 12,5* MM, COBRIMENTO 20 MM</v>
      </c>
      <c r="D526" s="77"/>
      <c r="E526" s="77"/>
      <c r="F526" s="77"/>
      <c r="G526" s="16" t="str">
        <f>VLOOKUP(B526,IF(A526="COMPOSICAO",S!$A:$D,I!$A:$D),3,FALSE)</f>
        <v>UN</v>
      </c>
      <c r="H526" s="30">
        <v>0.61299999999999999</v>
      </c>
      <c r="I526" s="17">
        <f>IF(A526="COMPOSICAO",VLOOKUP("TOTAL - "&amp;B526,COMPOSICAO_AUX_2!$A:$J,10,FALSE),VLOOKUP(B526,I!$A:$D,4,FALSE))</f>
        <v>0.21</v>
      </c>
      <c r="J526" s="80">
        <f>TRUNC(H526*I526,2)</f>
        <v>0.12</v>
      </c>
      <c r="K526" s="81"/>
    </row>
    <row r="527" spans="1:13" ht="30" customHeight="1" x14ac:dyDescent="0.25">
      <c r="A527" s="16" t="s">
        <v>306</v>
      </c>
      <c r="B527" s="20">
        <v>43132</v>
      </c>
      <c r="C527" s="77" t="str">
        <f>VLOOKUP(B527,IF(A527="COMPOSICAO",S!$A:$D,I!$A:$D),2,FALSE)</f>
        <v>ARAME RECOZIDO 16 BWG, D = 1,65 MM (0,016 KG/M) OU 18 BWG, D = 1,25 MM (0,01 KG/M)</v>
      </c>
      <c r="D527" s="77"/>
      <c r="E527" s="77"/>
      <c r="F527" s="77"/>
      <c r="G527" s="16" t="str">
        <f>VLOOKUP(B527,IF(A527="COMPOSICAO",S!$A:$D,I!$A:$D),3,FALSE)</f>
        <v>KG</v>
      </c>
      <c r="H527" s="30">
        <v>2.5000000000000001E-2</v>
      </c>
      <c r="I527" s="17">
        <f>IF(A527="COMPOSICAO",VLOOKUP("TOTAL - "&amp;B527,COMPOSICAO_AUX_2!$A:$J,10,FALSE),VLOOKUP(B527,I!$A:$D,4,FALSE))</f>
        <v>22.75</v>
      </c>
      <c r="J527" s="80">
        <f>TRUNC(H527*I527,2)</f>
        <v>0.56000000000000005</v>
      </c>
      <c r="K527" s="81"/>
    </row>
    <row r="528" spans="1:13" ht="30" customHeight="1" x14ac:dyDescent="0.25">
      <c r="A528" s="16" t="s">
        <v>302</v>
      </c>
      <c r="B528" s="20">
        <v>88238</v>
      </c>
      <c r="C528" s="77" t="str">
        <f>VLOOKUP(B528,IF(A528="COMPOSICAO",S!$A:$D,I!$A:$D),2,FALSE)</f>
        <v>AJUDANTE DE ARMADOR COM ENCARGOS COMPLEMENTARES</v>
      </c>
      <c r="D528" s="77"/>
      <c r="E528" s="77"/>
      <c r="F528" s="77"/>
      <c r="G528" s="16" t="str">
        <f>VLOOKUP(B528,IF(A528="COMPOSICAO",S!$A:$D,I!$A:$D),3,FALSE)</f>
        <v>H</v>
      </c>
      <c r="H528" s="30">
        <v>2.8000000000000001E-2</v>
      </c>
      <c r="I528" s="17">
        <f>IF(A528="COMPOSICAO",VLOOKUP("TOTAL - "&amp;B528,COMPOSICAO_AUX_2!$A:$J,10,FALSE),VLOOKUP(B528,I!$A:$D,4,FALSE))</f>
        <v>15.19</v>
      </c>
      <c r="J528" s="80">
        <f>TRUNC(H528*I528,2)</f>
        <v>0.42</v>
      </c>
      <c r="K528" s="81"/>
    </row>
    <row r="529" spans="1:13" ht="15" customHeight="1" x14ac:dyDescent="0.25">
      <c r="A529" s="16" t="s">
        <v>302</v>
      </c>
      <c r="B529" s="20">
        <v>88245</v>
      </c>
      <c r="C529" s="77" t="str">
        <f>VLOOKUP(B529,IF(A529="COMPOSICAO",S!$A:$D,I!$A:$D),2,FALSE)</f>
        <v>ARMADOR COM ENCARGOS COMPLEMENTARES</v>
      </c>
      <c r="D529" s="77"/>
      <c r="E529" s="77"/>
      <c r="F529" s="77"/>
      <c r="G529" s="16" t="str">
        <f>VLOOKUP(B529,IF(A529="COMPOSICAO",S!$A:$D,I!$A:$D),3,FALSE)</f>
        <v>H</v>
      </c>
      <c r="H529" s="30">
        <v>0.17499999999999999</v>
      </c>
      <c r="I529" s="17">
        <f>IF(A529="COMPOSICAO",VLOOKUP("TOTAL - "&amp;B529,COMPOSICAO_AUX_2!$A:$J,10,FALSE),VLOOKUP(B529,I!$A:$D,4,FALSE))</f>
        <v>19.749999999999996</v>
      </c>
      <c r="J529" s="80">
        <f>TRUNC(H529*I529,2)</f>
        <v>3.45</v>
      </c>
      <c r="K529" s="81"/>
    </row>
    <row r="530" spans="1:13" ht="30" customHeight="1" x14ac:dyDescent="0.25">
      <c r="A530" s="16" t="s">
        <v>302</v>
      </c>
      <c r="B530" s="20">
        <v>92802</v>
      </c>
      <c r="C530" s="77" t="str">
        <f>VLOOKUP(B530,IF(A530="COMPOSICAO",S!$A:$D,I!$A:$D),2,FALSE)</f>
        <v>CORTE E DOBRA DE AÇO CA-50, DIÂMETRO DE 8,0 MM, UTILIZADO EM LAJE. AF_12/2015</v>
      </c>
      <c r="D530" s="77"/>
      <c r="E530" s="77"/>
      <c r="F530" s="77"/>
      <c r="G530" s="16" t="str">
        <f>VLOOKUP(B530,IF(A530="COMPOSICAO",S!$A:$D,I!$A:$D),3,FALSE)</f>
        <v>KG</v>
      </c>
      <c r="H530" s="17">
        <v>1</v>
      </c>
      <c r="I530" s="17">
        <f>IF(A530="COMPOSICAO",VLOOKUP("TOTAL - "&amp;B530,COMPOSICAO_AUX_2!$A:$J,10,FALSE),VLOOKUP(B530,I!$A:$D,4,FALSE))</f>
        <v>12.08</v>
      </c>
      <c r="J530" s="80">
        <f>TRUNC(H530*I530,2)</f>
        <v>12.08</v>
      </c>
      <c r="K530" s="81"/>
    </row>
    <row r="531" spans="1:13" ht="15" customHeight="1" x14ac:dyDescent="0.25">
      <c r="A531" s="23" t="s">
        <v>596</v>
      </c>
      <c r="B531" s="24"/>
      <c r="C531" s="24"/>
      <c r="D531" s="24"/>
      <c r="E531" s="24"/>
      <c r="F531" s="24"/>
      <c r="G531" s="25"/>
      <c r="H531" s="26"/>
      <c r="I531" s="27"/>
      <c r="J531" s="80">
        <f>SUM(J525:K530)</f>
        <v>16.630000000000003</v>
      </c>
      <c r="K531" s="81"/>
    </row>
    <row r="532" spans="1:13" ht="15" customHeight="1" x14ac:dyDescent="0.25">
      <c r="A532" s="3"/>
      <c r="B532" s="3"/>
      <c r="C532" s="3"/>
      <c r="D532" s="3"/>
      <c r="E532" s="3"/>
      <c r="F532" s="3"/>
      <c r="G532" s="3"/>
      <c r="H532" s="3"/>
      <c r="I532" s="3"/>
      <c r="J532" s="3"/>
      <c r="K532" s="3"/>
    </row>
    <row r="533" spans="1:13" ht="15" customHeight="1" x14ac:dyDescent="0.25">
      <c r="A533" s="10" t="s">
        <v>295</v>
      </c>
      <c r="B533" s="10" t="s">
        <v>31</v>
      </c>
      <c r="C533" s="82" t="s">
        <v>7</v>
      </c>
      <c r="D533" s="83"/>
      <c r="E533" s="83"/>
      <c r="F533" s="83"/>
      <c r="G533" s="6" t="s">
        <v>32</v>
      </c>
      <c r="H533" s="6" t="s">
        <v>296</v>
      </c>
      <c r="I533" s="6" t="s">
        <v>297</v>
      </c>
      <c r="J533" s="57" t="s">
        <v>9</v>
      </c>
      <c r="K533" s="58"/>
    </row>
    <row r="534" spans="1:13" ht="45" customHeight="1" x14ac:dyDescent="0.25">
      <c r="A534" s="6" t="s">
        <v>363</v>
      </c>
      <c r="B534" s="28">
        <v>96533</v>
      </c>
      <c r="C534" s="91" t="str">
        <f>VLOOKUP(B534,S!$A:$D,2,FALSE)</f>
        <v>FABRICAÇÃO, MONTAGEM E DESMONTAGEM DE FÔRMA PARA VIGA BALDRAME, EM MADEIRA SERRADA, E=25 MM, 2 UTILIZAÇÕES. AF_06/2017</v>
      </c>
      <c r="D534" s="91"/>
      <c r="E534" s="91"/>
      <c r="F534" s="92"/>
      <c r="G534" s="6" t="str">
        <f>VLOOKUP(B534,S!$A:$D,3,FALSE)</f>
        <v>M2</v>
      </c>
      <c r="H534" s="21"/>
      <c r="I534" s="21">
        <f>J545</f>
        <v>85.38000000000001</v>
      </c>
      <c r="J534" s="76"/>
      <c r="K534" s="72"/>
      <c r="L534" s="21">
        <f>VLOOKUP(B534,S!$A:$D,4,FALSE)</f>
        <v>85.38</v>
      </c>
      <c r="M534" s="6" t="str">
        <f>IF(ROUND((L534-I534),2)=0,"OK, confere com a tabela.",IF(ROUND((L534-I534),2)&lt;0,"ACIMA ("&amp;TEXT(ROUND(I534*100/L534,4),"0,0000")&amp;" %) da tabela.","ABAIXO ("&amp;TEXT(ROUND(I534*100/L534,4),"0,0000")&amp;" %) da tabela."))</f>
        <v>OK, confere com a tabela.</v>
      </c>
    </row>
    <row r="535" spans="1:13" ht="30" customHeight="1" x14ac:dyDescent="0.25">
      <c r="A535" s="16" t="s">
        <v>306</v>
      </c>
      <c r="B535" s="20">
        <v>2692</v>
      </c>
      <c r="C535" s="77" t="str">
        <f>VLOOKUP(B535,IF(A535="COMPOSICAO",S!$A:$D,I!$A:$D),2,FALSE)</f>
        <v>DESMOLDANTE PROTETOR PARA FORMAS DE MADEIRA, DE BASE OLEOSA EMULSIONADA EM AGUA</v>
      </c>
      <c r="D535" s="77"/>
      <c r="E535" s="77"/>
      <c r="F535" s="77"/>
      <c r="G535" s="16" t="str">
        <f>VLOOKUP(B535,IF(A535="COMPOSICAO",S!$A:$D,I!$A:$D),3,FALSE)</f>
        <v>L</v>
      </c>
      <c r="H535" s="30">
        <v>1.7000000000000001E-2</v>
      </c>
      <c r="I535" s="17">
        <f>IF(A535="COMPOSICAO",VLOOKUP("TOTAL - "&amp;B535,COMPOSICAO_AUX_2!$A:$J,10,FALSE),VLOOKUP(B535,I!$A:$D,4,FALSE))</f>
        <v>6.94</v>
      </c>
      <c r="J535" s="80">
        <f t="shared" ref="J535:J544" si="22">TRUNC(H535*I535,2)</f>
        <v>0.11</v>
      </c>
      <c r="K535" s="81"/>
    </row>
    <row r="536" spans="1:13" ht="30" customHeight="1" x14ac:dyDescent="0.25">
      <c r="A536" s="16" t="s">
        <v>306</v>
      </c>
      <c r="B536" s="20">
        <v>4491</v>
      </c>
      <c r="C536" s="77" t="str">
        <f>VLOOKUP(B536,IF(A536="COMPOSICAO",S!$A:$D,I!$A:$D),2,FALSE)</f>
        <v>PONTALETE *7,5 X 7,5* CM EM PINUS, MISTA OU EQUIVALENTE DA REGIAO - BRUTA</v>
      </c>
      <c r="D536" s="77"/>
      <c r="E536" s="77"/>
      <c r="F536" s="77"/>
      <c r="G536" s="16" t="str">
        <f>VLOOKUP(B536,IF(A536="COMPOSICAO",S!$A:$D,I!$A:$D),3,FALSE)</f>
        <v>M</v>
      </c>
      <c r="H536" s="30">
        <v>1.1659999999999999</v>
      </c>
      <c r="I536" s="17">
        <f>IF(A536="COMPOSICAO",VLOOKUP("TOTAL - "&amp;B536,COMPOSICAO_AUX_2!$A:$J,10,FALSE),VLOOKUP(B536,I!$A:$D,4,FALSE))</f>
        <v>6.67</v>
      </c>
      <c r="J536" s="80">
        <f t="shared" si="22"/>
        <v>7.77</v>
      </c>
      <c r="K536" s="81"/>
    </row>
    <row r="537" spans="1:13" ht="30" customHeight="1" x14ac:dyDescent="0.25">
      <c r="A537" s="16" t="s">
        <v>306</v>
      </c>
      <c r="B537" s="20">
        <v>4517</v>
      </c>
      <c r="C537" s="77" t="str">
        <f>VLOOKUP(B537,IF(A537="COMPOSICAO",S!$A:$D,I!$A:$D),2,FALSE)</f>
        <v>SARRAFO *2,5 X 7,5* CM EM PINUS, MISTA OU EQUIVALENTE DA REGIAO - BRUTA</v>
      </c>
      <c r="D537" s="77"/>
      <c r="E537" s="77"/>
      <c r="F537" s="77"/>
      <c r="G537" s="16" t="str">
        <f>VLOOKUP(B537,IF(A537="COMPOSICAO",S!$A:$D,I!$A:$D),3,FALSE)</f>
        <v>M</v>
      </c>
      <c r="H537" s="30">
        <v>1.093</v>
      </c>
      <c r="I537" s="17">
        <f>IF(A537="COMPOSICAO",VLOOKUP("TOTAL - "&amp;B537,COMPOSICAO_AUX_2!$A:$J,10,FALSE),VLOOKUP(B537,I!$A:$D,4,FALSE))</f>
        <v>2.33</v>
      </c>
      <c r="J537" s="80">
        <f t="shared" si="22"/>
        <v>2.54</v>
      </c>
      <c r="K537" s="81"/>
    </row>
    <row r="538" spans="1:13" ht="30" customHeight="1" x14ac:dyDescent="0.25">
      <c r="A538" s="16" t="s">
        <v>306</v>
      </c>
      <c r="B538" s="20">
        <v>5073</v>
      </c>
      <c r="C538" s="77" t="str">
        <f>VLOOKUP(B538,IF(A538="COMPOSICAO",S!$A:$D,I!$A:$D),2,FALSE)</f>
        <v>PREGO DE ACO POLIDO COM CABECA 17 X 24 (2 1/4 X 11)</v>
      </c>
      <c r="D538" s="77"/>
      <c r="E538" s="77"/>
      <c r="F538" s="77"/>
      <c r="G538" s="16" t="str">
        <f>VLOOKUP(B538,IF(A538="COMPOSICAO",S!$A:$D,I!$A:$D),3,FALSE)</f>
        <v>KG</v>
      </c>
      <c r="H538" s="30">
        <v>4.9000000000000002E-2</v>
      </c>
      <c r="I538" s="17">
        <f>IF(A538="COMPOSICAO",VLOOKUP("TOTAL - "&amp;B538,COMPOSICAO_AUX_2!$A:$J,10,FALSE),VLOOKUP(B538,I!$A:$D,4,FALSE))</f>
        <v>19.7</v>
      </c>
      <c r="J538" s="80">
        <f t="shared" si="22"/>
        <v>0.96</v>
      </c>
      <c r="K538" s="81"/>
    </row>
    <row r="539" spans="1:13" ht="45" customHeight="1" x14ac:dyDescent="0.25">
      <c r="A539" s="16" t="s">
        <v>306</v>
      </c>
      <c r="B539" s="20">
        <v>6189</v>
      </c>
      <c r="C539" s="77" t="str">
        <f>VLOOKUP(B539,IF(A539="COMPOSICAO",S!$A:$D,I!$A:$D),2,FALSE)</f>
        <v>TABUA NAO APARELHADA *2,5 X 30* CM, EM MACARANDUBA, ANGELIM OU EQUIVALENTE DA REGIAO - BRUTA</v>
      </c>
      <c r="D539" s="77"/>
      <c r="E539" s="77"/>
      <c r="F539" s="77"/>
      <c r="G539" s="16" t="str">
        <f>VLOOKUP(B539,IF(A539="COMPOSICAO",S!$A:$D,I!$A:$D),3,FALSE)</f>
        <v>M</v>
      </c>
      <c r="H539" s="30">
        <v>1.9430000000000001</v>
      </c>
      <c r="I539" s="17">
        <f>IF(A539="COMPOSICAO",VLOOKUP("TOTAL - "&amp;B539,COMPOSICAO_AUX_2!$A:$J,10,FALSE),VLOOKUP(B539,I!$A:$D,4,FALSE))</f>
        <v>19.59</v>
      </c>
      <c r="J539" s="80">
        <f t="shared" si="22"/>
        <v>38.06</v>
      </c>
      <c r="K539" s="81"/>
    </row>
    <row r="540" spans="1:13" ht="30" customHeight="1" x14ac:dyDescent="0.25">
      <c r="A540" s="16" t="s">
        <v>306</v>
      </c>
      <c r="B540" s="20">
        <v>40304</v>
      </c>
      <c r="C540" s="77" t="str">
        <f>VLOOKUP(B540,IF(A540="COMPOSICAO",S!$A:$D,I!$A:$D),2,FALSE)</f>
        <v>PREGO DE ACO POLIDO COM CABECA DUPLA 17 X 27 (2 1/2 X 11)</v>
      </c>
      <c r="D540" s="77"/>
      <c r="E540" s="77"/>
      <c r="F540" s="77"/>
      <c r="G540" s="16" t="str">
        <f>VLOOKUP(B540,IF(A540="COMPOSICAO",S!$A:$D,I!$A:$D),3,FALSE)</f>
        <v>KG</v>
      </c>
      <c r="H540" s="30">
        <v>3.4000000000000002E-2</v>
      </c>
      <c r="I540" s="17">
        <f>IF(A540="COMPOSICAO",VLOOKUP("TOTAL - "&amp;B540,COMPOSICAO_AUX_2!$A:$J,10,FALSE),VLOOKUP(B540,I!$A:$D,4,FALSE))</f>
        <v>23.85</v>
      </c>
      <c r="J540" s="80">
        <f t="shared" si="22"/>
        <v>0.81</v>
      </c>
      <c r="K540" s="81"/>
    </row>
    <row r="541" spans="1:13" ht="30" customHeight="1" x14ac:dyDescent="0.25">
      <c r="A541" s="16" t="s">
        <v>302</v>
      </c>
      <c r="B541" s="20">
        <v>88239</v>
      </c>
      <c r="C541" s="77" t="str">
        <f>VLOOKUP(B541,IF(A541="COMPOSICAO",S!$A:$D,I!$A:$D),2,FALSE)</f>
        <v>AJUDANTE DE CARPINTEIRO COM ENCARGOS COMPLEMENTARES</v>
      </c>
      <c r="D541" s="77"/>
      <c r="E541" s="77"/>
      <c r="F541" s="77"/>
      <c r="G541" s="16" t="str">
        <f>VLOOKUP(B541,IF(A541="COMPOSICAO",S!$A:$D,I!$A:$D),3,FALSE)</f>
        <v>H</v>
      </c>
      <c r="H541" s="17">
        <v>0.5</v>
      </c>
      <c r="I541" s="17">
        <f>IF(A541="COMPOSICAO",VLOOKUP("TOTAL - "&amp;B541,COMPOSICAO_AUX_2!$A:$J,10,FALSE),VLOOKUP(B541,I!$A:$D,4,FALSE))</f>
        <v>16.470000000000002</v>
      </c>
      <c r="J541" s="80">
        <f t="shared" si="22"/>
        <v>8.23</v>
      </c>
      <c r="K541" s="81"/>
    </row>
    <row r="542" spans="1:13" ht="30" customHeight="1" x14ac:dyDescent="0.25">
      <c r="A542" s="16" t="s">
        <v>302</v>
      </c>
      <c r="B542" s="20">
        <v>88262</v>
      </c>
      <c r="C542" s="77" t="str">
        <f>VLOOKUP(B542,IF(A542="COMPOSICAO",S!$A:$D,I!$A:$D),2,FALSE)</f>
        <v>CARPINTEIRO DE FORMAS COM ENCARGOS COMPLEMENTARES</v>
      </c>
      <c r="D542" s="77"/>
      <c r="E542" s="77"/>
      <c r="F542" s="77"/>
      <c r="G542" s="16" t="str">
        <f>VLOOKUP(B542,IF(A542="COMPOSICAO",S!$A:$D,I!$A:$D),3,FALSE)</f>
        <v>H</v>
      </c>
      <c r="H542" s="30">
        <v>1.2889999999999999</v>
      </c>
      <c r="I542" s="17">
        <f>IF(A542="COMPOSICAO",VLOOKUP("TOTAL - "&amp;B542,COMPOSICAO_AUX_2!$A:$J,10,FALSE),VLOOKUP(B542,I!$A:$D,4,FALSE))</f>
        <v>19.649999999999999</v>
      </c>
      <c r="J542" s="80">
        <f t="shared" si="22"/>
        <v>25.32</v>
      </c>
      <c r="K542" s="81"/>
    </row>
    <row r="543" spans="1:13" ht="45" customHeight="1" x14ac:dyDescent="0.25">
      <c r="A543" s="16" t="s">
        <v>302</v>
      </c>
      <c r="B543" s="20">
        <v>91692</v>
      </c>
      <c r="C543" s="77" t="str">
        <f>VLOOKUP(B543,IF(A543="COMPOSICAO",S!$A:$D,I!$A:$D),2,FALSE)</f>
        <v>SERRA CIRCULAR DE BANCADA COM MOTOR ELÉTRICO POTÊNCIA DE 5HP, COM COIFA PARA DISCO 10" - CHP DIURNO. AF_08/2015</v>
      </c>
      <c r="D543" s="77"/>
      <c r="E543" s="77"/>
      <c r="F543" s="77"/>
      <c r="G543" s="16" t="str">
        <f>VLOOKUP(B543,IF(A543="COMPOSICAO",S!$A:$D,I!$A:$D),3,FALSE)</f>
        <v>CHP</v>
      </c>
      <c r="H543" s="30">
        <v>3.2000000000000001E-2</v>
      </c>
      <c r="I543" s="17">
        <f>IF(A543="COMPOSICAO",VLOOKUP("TOTAL - "&amp;B543,COMPOSICAO_AUX_2!$A:$J,10,FALSE),VLOOKUP(B543,I!$A:$D,4,FALSE))</f>
        <v>27.599999999999998</v>
      </c>
      <c r="J543" s="80">
        <f t="shared" si="22"/>
        <v>0.88</v>
      </c>
      <c r="K543" s="81"/>
    </row>
    <row r="544" spans="1:13" ht="45" customHeight="1" x14ac:dyDescent="0.25">
      <c r="A544" s="16" t="s">
        <v>302</v>
      </c>
      <c r="B544" s="20">
        <v>91693</v>
      </c>
      <c r="C544" s="77" t="str">
        <f>VLOOKUP(B544,IF(A544="COMPOSICAO",S!$A:$D,I!$A:$D),2,FALSE)</f>
        <v>SERRA CIRCULAR DE BANCADA COM MOTOR ELÉTRICO POTÊNCIA DE 5HP, COM COIFA PARA DISCO 10" - CHI DIURNO. AF_08/2015</v>
      </c>
      <c r="D544" s="77"/>
      <c r="E544" s="77"/>
      <c r="F544" s="77"/>
      <c r="G544" s="16" t="str">
        <f>VLOOKUP(B544,IF(A544="COMPOSICAO",S!$A:$D,I!$A:$D),3,FALSE)</f>
        <v>CHI</v>
      </c>
      <c r="H544" s="30">
        <v>2.8000000000000001E-2</v>
      </c>
      <c r="I544" s="17">
        <f>IF(A544="COMPOSICAO",VLOOKUP("TOTAL - "&amp;B544,COMPOSICAO_AUX_2!$A:$J,10,FALSE),VLOOKUP(B544,I!$A:$D,4,FALSE))</f>
        <v>25.14</v>
      </c>
      <c r="J544" s="80">
        <f t="shared" si="22"/>
        <v>0.7</v>
      </c>
      <c r="K544" s="81"/>
    </row>
    <row r="545" spans="1:13" ht="15" customHeight="1" x14ac:dyDescent="0.25">
      <c r="A545" s="23" t="s">
        <v>597</v>
      </c>
      <c r="B545" s="24"/>
      <c r="C545" s="24"/>
      <c r="D545" s="24"/>
      <c r="E545" s="24"/>
      <c r="F545" s="24"/>
      <c r="G545" s="25"/>
      <c r="H545" s="26"/>
      <c r="I545" s="27"/>
      <c r="J545" s="80">
        <f>SUM(J534:K544)</f>
        <v>85.38000000000001</v>
      </c>
      <c r="K545" s="81"/>
    </row>
    <row r="546" spans="1:13" ht="15" customHeight="1" x14ac:dyDescent="0.25">
      <c r="A546" s="3"/>
      <c r="B546" s="3"/>
      <c r="C546" s="3"/>
      <c r="D546" s="3"/>
      <c r="E546" s="3"/>
      <c r="F546" s="3"/>
      <c r="G546" s="3"/>
      <c r="H546" s="3"/>
      <c r="I546" s="3"/>
      <c r="J546" s="3"/>
      <c r="K546" s="3"/>
    </row>
    <row r="547" spans="1:13" ht="15" customHeight="1" x14ac:dyDescent="0.25">
      <c r="A547" s="10" t="s">
        <v>295</v>
      </c>
      <c r="B547" s="10" t="s">
        <v>31</v>
      </c>
      <c r="C547" s="82" t="s">
        <v>7</v>
      </c>
      <c r="D547" s="83"/>
      <c r="E547" s="83"/>
      <c r="F547" s="83"/>
      <c r="G547" s="6" t="s">
        <v>32</v>
      </c>
      <c r="H547" s="6" t="s">
        <v>296</v>
      </c>
      <c r="I547" s="6" t="s">
        <v>297</v>
      </c>
      <c r="J547" s="57" t="s">
        <v>9</v>
      </c>
      <c r="K547" s="58"/>
    </row>
    <row r="548" spans="1:13" ht="45" customHeight="1" x14ac:dyDescent="0.25">
      <c r="A548" s="6" t="s">
        <v>363</v>
      </c>
      <c r="B548" s="28">
        <v>96543</v>
      </c>
      <c r="C548" s="91" t="str">
        <f>VLOOKUP(B548,S!$A:$D,2,FALSE)</f>
        <v>ARMAÇÃO DE BLOCO, VIGA BALDRAME E SAPATA UTILIZANDO AÇO CA-60 DE 5 MM - MONTAGEM. AF_06/2017</v>
      </c>
      <c r="D548" s="91"/>
      <c r="E548" s="91"/>
      <c r="F548" s="92"/>
      <c r="G548" s="6" t="str">
        <f>VLOOKUP(B548,S!$A:$D,3,FALSE)</f>
        <v>KG</v>
      </c>
      <c r="H548" s="21"/>
      <c r="I548" s="21">
        <f>J554</f>
        <v>17.54</v>
      </c>
      <c r="J548" s="76"/>
      <c r="K548" s="72"/>
      <c r="L548" s="21">
        <f>VLOOKUP(B548,S!$A:$D,4,FALSE)</f>
        <v>17.54</v>
      </c>
      <c r="M548" s="6" t="str">
        <f>IF(ROUND((L548-I548),2)=0,"OK, confere com a tabela.",IF(ROUND((L548-I548),2)&lt;0,"ACIMA ("&amp;TEXT(ROUND(I548*100/L548,4),"0,0000")&amp;" %) da tabela.","ABAIXO ("&amp;TEXT(ROUND(I548*100/L548,4),"0,0000")&amp;" %) da tabela."))</f>
        <v>OK, confere com a tabela.</v>
      </c>
    </row>
    <row r="549" spans="1:13" ht="45" customHeight="1" x14ac:dyDescent="0.25">
      <c r="A549" s="16" t="s">
        <v>306</v>
      </c>
      <c r="B549" s="20">
        <v>39017</v>
      </c>
      <c r="C549" s="77" t="str">
        <f>VLOOKUP(B549,IF(A549="COMPOSICAO",S!$A:$D,I!$A:$D),2,FALSE)</f>
        <v>ESPACADOR / DISTANCIADOR CIRCULAR COM ENTRADA LATERAL, EM PLASTICO, PARA VERGALHAO *4,2 A 12,5* MM, COBRIMENTO 20 MM</v>
      </c>
      <c r="D549" s="77"/>
      <c r="E549" s="77"/>
      <c r="F549" s="77"/>
      <c r="G549" s="16" t="str">
        <f>VLOOKUP(B549,IF(A549="COMPOSICAO",S!$A:$D,I!$A:$D),3,FALSE)</f>
        <v>UN</v>
      </c>
      <c r="H549" s="29">
        <v>1.9664999999999999</v>
      </c>
      <c r="I549" s="17">
        <f>IF(A549="COMPOSICAO",VLOOKUP("TOTAL - "&amp;B549,COMPOSICAO_AUX_2!$A:$J,10,FALSE),VLOOKUP(B549,I!$A:$D,4,FALSE))</f>
        <v>0.21</v>
      </c>
      <c r="J549" s="80">
        <f>TRUNC(H549*I549,2)</f>
        <v>0.41</v>
      </c>
      <c r="K549" s="81"/>
    </row>
    <row r="550" spans="1:13" ht="30" customHeight="1" x14ac:dyDescent="0.25">
      <c r="A550" s="16" t="s">
        <v>306</v>
      </c>
      <c r="B550" s="20">
        <v>43132</v>
      </c>
      <c r="C550" s="77" t="str">
        <f>VLOOKUP(B550,IF(A550="COMPOSICAO",S!$A:$D,I!$A:$D),2,FALSE)</f>
        <v>ARAME RECOZIDO 16 BWG, D = 1,65 MM (0,016 KG/M) OU 18 BWG, D = 1,25 MM (0,01 KG/M)</v>
      </c>
      <c r="D550" s="77"/>
      <c r="E550" s="77"/>
      <c r="F550" s="77"/>
      <c r="G550" s="16" t="str">
        <f>VLOOKUP(B550,IF(A550="COMPOSICAO",S!$A:$D,I!$A:$D),3,FALSE)</f>
        <v>KG</v>
      </c>
      <c r="H550" s="30">
        <v>2.5000000000000001E-2</v>
      </c>
      <c r="I550" s="17">
        <f>IF(A550="COMPOSICAO",VLOOKUP("TOTAL - "&amp;B550,COMPOSICAO_AUX_2!$A:$J,10,FALSE),VLOOKUP(B550,I!$A:$D,4,FALSE))</f>
        <v>22.75</v>
      </c>
      <c r="J550" s="80">
        <f>TRUNC(H550*I550,2)</f>
        <v>0.56000000000000005</v>
      </c>
      <c r="K550" s="81"/>
    </row>
    <row r="551" spans="1:13" ht="30" customHeight="1" x14ac:dyDescent="0.25">
      <c r="A551" s="16" t="s">
        <v>302</v>
      </c>
      <c r="B551" s="20">
        <v>88238</v>
      </c>
      <c r="C551" s="77" t="str">
        <f>VLOOKUP(B551,IF(A551="COMPOSICAO",S!$A:$D,I!$A:$D),2,FALSE)</f>
        <v>AJUDANTE DE ARMADOR COM ENCARGOS COMPLEMENTARES</v>
      </c>
      <c r="D551" s="77"/>
      <c r="E551" s="77"/>
      <c r="F551" s="77"/>
      <c r="G551" s="16" t="str">
        <f>VLOOKUP(B551,IF(A551="COMPOSICAO",S!$A:$D,I!$A:$D),3,FALSE)</f>
        <v>H</v>
      </c>
      <c r="H551" s="29">
        <v>6.3500000000000001E-2</v>
      </c>
      <c r="I551" s="17">
        <f>IF(A551="COMPOSICAO",VLOOKUP("TOTAL - "&amp;B551,COMPOSICAO_AUX_2!$A:$J,10,FALSE),VLOOKUP(B551,I!$A:$D,4,FALSE))</f>
        <v>15.19</v>
      </c>
      <c r="J551" s="80">
        <f>TRUNC(H551*I551,2)</f>
        <v>0.96</v>
      </c>
      <c r="K551" s="81"/>
    </row>
    <row r="552" spans="1:13" ht="15" customHeight="1" x14ac:dyDescent="0.25">
      <c r="A552" s="16" t="s">
        <v>302</v>
      </c>
      <c r="B552" s="20">
        <v>88245</v>
      </c>
      <c r="C552" s="77" t="str">
        <f>VLOOKUP(B552,IF(A552="COMPOSICAO",S!$A:$D,I!$A:$D),2,FALSE)</f>
        <v>ARMADOR COM ENCARGOS COMPLEMENTARES</v>
      </c>
      <c r="D552" s="77"/>
      <c r="E552" s="77"/>
      <c r="F552" s="77"/>
      <c r="G552" s="16" t="str">
        <f>VLOOKUP(B552,IF(A552="COMPOSICAO",S!$A:$D,I!$A:$D),3,FALSE)</f>
        <v>H</v>
      </c>
      <c r="H552" s="29">
        <v>0.19450000000000001</v>
      </c>
      <c r="I552" s="17">
        <f>IF(A552="COMPOSICAO",VLOOKUP("TOTAL - "&amp;B552,COMPOSICAO_AUX_2!$A:$J,10,FALSE),VLOOKUP(B552,I!$A:$D,4,FALSE))</f>
        <v>19.749999999999996</v>
      </c>
      <c r="J552" s="80">
        <f>TRUNC(H552*I552,2)</f>
        <v>3.84</v>
      </c>
      <c r="K552" s="81"/>
    </row>
    <row r="553" spans="1:13" ht="45" customHeight="1" x14ac:dyDescent="0.25">
      <c r="A553" s="16" t="s">
        <v>302</v>
      </c>
      <c r="B553" s="20">
        <v>92791</v>
      </c>
      <c r="C553" s="77" t="str">
        <f>VLOOKUP(B553,IF(A553="COMPOSICAO",S!$A:$D,I!$A:$D),2,FALSE)</f>
        <v>CORTE E DOBRA DE AÇO CA-60, DIÂMETRO DE 5,0 MM, UTILIZADO EM ESTRUTURAS DIVERSAS, EXCETO LAJES. AF_12/2015</v>
      </c>
      <c r="D553" s="77"/>
      <c r="E553" s="77"/>
      <c r="F553" s="77"/>
      <c r="G553" s="16" t="str">
        <f>VLOOKUP(B553,IF(A553="COMPOSICAO",S!$A:$D,I!$A:$D),3,FALSE)</f>
        <v>KG</v>
      </c>
      <c r="H553" s="17">
        <v>1</v>
      </c>
      <c r="I553" s="17">
        <f>IF(A553="COMPOSICAO",VLOOKUP("TOTAL - "&amp;B553,COMPOSICAO_AUX_2!$A:$J,10,FALSE),VLOOKUP(B553,I!$A:$D,4,FALSE))</f>
        <v>11.77</v>
      </c>
      <c r="J553" s="80">
        <f>TRUNC(H553*I553,2)</f>
        <v>11.77</v>
      </c>
      <c r="K553" s="81"/>
    </row>
    <row r="554" spans="1:13" ht="15" customHeight="1" x14ac:dyDescent="0.25">
      <c r="A554" s="23" t="s">
        <v>598</v>
      </c>
      <c r="B554" s="24"/>
      <c r="C554" s="24"/>
      <c r="D554" s="24"/>
      <c r="E554" s="24"/>
      <c r="F554" s="24"/>
      <c r="G554" s="25"/>
      <c r="H554" s="26"/>
      <c r="I554" s="27"/>
      <c r="J554" s="80">
        <f>SUM(J548:K553)</f>
        <v>17.54</v>
      </c>
      <c r="K554" s="81"/>
    </row>
    <row r="555" spans="1:13" ht="15" customHeight="1" x14ac:dyDescent="0.25">
      <c r="A555" s="3"/>
      <c r="B555" s="3"/>
      <c r="C555" s="3"/>
      <c r="D555" s="3"/>
      <c r="E555" s="3"/>
      <c r="F555" s="3"/>
      <c r="G555" s="3"/>
      <c r="H555" s="3"/>
      <c r="I555" s="3"/>
      <c r="J555" s="3"/>
      <c r="K555" s="3"/>
    </row>
    <row r="556" spans="1:13" ht="15" customHeight="1" x14ac:dyDescent="0.25">
      <c r="A556" s="10" t="s">
        <v>295</v>
      </c>
      <c r="B556" s="10" t="s">
        <v>31</v>
      </c>
      <c r="C556" s="82" t="s">
        <v>7</v>
      </c>
      <c r="D556" s="83"/>
      <c r="E556" s="83"/>
      <c r="F556" s="83"/>
      <c r="G556" s="6" t="s">
        <v>32</v>
      </c>
      <c r="H556" s="6" t="s">
        <v>296</v>
      </c>
      <c r="I556" s="6" t="s">
        <v>297</v>
      </c>
      <c r="J556" s="57" t="s">
        <v>9</v>
      </c>
      <c r="K556" s="58"/>
    </row>
    <row r="557" spans="1:13" ht="45" customHeight="1" x14ac:dyDescent="0.25">
      <c r="A557" s="6" t="s">
        <v>363</v>
      </c>
      <c r="B557" s="28">
        <v>96544</v>
      </c>
      <c r="C557" s="91" t="str">
        <f>VLOOKUP(B557,S!$A:$D,2,FALSE)</f>
        <v>ARMAÇÃO DE BLOCO, VIGA BALDRAME OU SAPATA UTILIZANDO AÇO CA-50 DE 6,3 MM - MONTAGEM. AF_06/2017</v>
      </c>
      <c r="D557" s="91"/>
      <c r="E557" s="91"/>
      <c r="F557" s="92"/>
      <c r="G557" s="6" t="str">
        <f>VLOOKUP(B557,S!$A:$D,3,FALSE)</f>
        <v>KG</v>
      </c>
      <c r="H557" s="21"/>
      <c r="I557" s="21">
        <f>J563</f>
        <v>16.670000000000002</v>
      </c>
      <c r="J557" s="76"/>
      <c r="K557" s="72"/>
      <c r="L557" s="21">
        <f>VLOOKUP(B557,S!$A:$D,4,FALSE)</f>
        <v>16.670000000000002</v>
      </c>
      <c r="M557" s="6" t="str">
        <f>IF(ROUND((L557-I557),2)=0,"OK, confere com a tabela.",IF(ROUND((L557-I557),2)&lt;0,"ACIMA ("&amp;TEXT(ROUND(I557*100/L557,4),"0,0000")&amp;" %) da tabela.","ABAIXO ("&amp;TEXT(ROUND(I557*100/L557,4),"0,0000")&amp;" %) da tabela."))</f>
        <v>OK, confere com a tabela.</v>
      </c>
    </row>
    <row r="558" spans="1:13" ht="45" customHeight="1" x14ac:dyDescent="0.25">
      <c r="A558" s="16" t="s">
        <v>306</v>
      </c>
      <c r="B558" s="20">
        <v>39017</v>
      </c>
      <c r="C558" s="77" t="str">
        <f>VLOOKUP(B558,IF(A558="COMPOSICAO",S!$A:$D,I!$A:$D),2,FALSE)</f>
        <v>ESPACADOR / DISTANCIADOR CIRCULAR COM ENTRADA LATERAL, EM PLASTICO, PARA VERGALHAO *4,2 A 12,5* MM, COBRIMENTO 20 MM</v>
      </c>
      <c r="D558" s="77"/>
      <c r="E558" s="77"/>
      <c r="F558" s="77"/>
      <c r="G558" s="16" t="str">
        <f>VLOOKUP(B558,IF(A558="COMPOSICAO",S!$A:$D,I!$A:$D),3,FALSE)</f>
        <v>UN</v>
      </c>
      <c r="H558" s="17">
        <v>1.19</v>
      </c>
      <c r="I558" s="17">
        <f>IF(A558="COMPOSICAO",VLOOKUP("TOTAL - "&amp;B558,COMPOSICAO_AUX_2!$A:$J,10,FALSE),VLOOKUP(B558,I!$A:$D,4,FALSE))</f>
        <v>0.21</v>
      </c>
      <c r="J558" s="80">
        <f>TRUNC(H558*I558,2)</f>
        <v>0.24</v>
      </c>
      <c r="K558" s="81"/>
    </row>
    <row r="559" spans="1:13" ht="30" customHeight="1" x14ac:dyDescent="0.25">
      <c r="A559" s="16" t="s">
        <v>306</v>
      </c>
      <c r="B559" s="20">
        <v>43132</v>
      </c>
      <c r="C559" s="77" t="str">
        <f>VLOOKUP(B559,IF(A559="COMPOSICAO",S!$A:$D,I!$A:$D),2,FALSE)</f>
        <v>ARAME RECOZIDO 16 BWG, D = 1,65 MM (0,016 KG/M) OU 18 BWG, D = 1,25 MM (0,01 KG/M)</v>
      </c>
      <c r="D559" s="77"/>
      <c r="E559" s="77"/>
      <c r="F559" s="77"/>
      <c r="G559" s="16" t="str">
        <f>VLOOKUP(B559,IF(A559="COMPOSICAO",S!$A:$D,I!$A:$D),3,FALSE)</f>
        <v>KG</v>
      </c>
      <c r="H559" s="30">
        <v>2.5000000000000001E-2</v>
      </c>
      <c r="I559" s="17">
        <f>IF(A559="COMPOSICAO",VLOOKUP("TOTAL - "&amp;B559,COMPOSICAO_AUX_2!$A:$J,10,FALSE),VLOOKUP(B559,I!$A:$D,4,FALSE))</f>
        <v>22.75</v>
      </c>
      <c r="J559" s="80">
        <f>TRUNC(H559*I559,2)</f>
        <v>0.56000000000000005</v>
      </c>
      <c r="K559" s="81"/>
    </row>
    <row r="560" spans="1:13" ht="30" customHeight="1" x14ac:dyDescent="0.25">
      <c r="A560" s="16" t="s">
        <v>302</v>
      </c>
      <c r="B560" s="20">
        <v>88238</v>
      </c>
      <c r="C560" s="77" t="str">
        <f>VLOOKUP(B560,IF(A560="COMPOSICAO",S!$A:$D,I!$A:$D),2,FALSE)</f>
        <v>AJUDANTE DE ARMADOR COM ENCARGOS COMPLEMENTARES</v>
      </c>
      <c r="D560" s="77"/>
      <c r="E560" s="77"/>
      <c r="F560" s="77"/>
      <c r="G560" s="16" t="str">
        <f>VLOOKUP(B560,IF(A560="COMPOSICAO",S!$A:$D,I!$A:$D),3,FALSE)</f>
        <v>H</v>
      </c>
      <c r="H560" s="30">
        <v>4.9000000000000002E-2</v>
      </c>
      <c r="I560" s="17">
        <f>IF(A560="COMPOSICAO",VLOOKUP("TOTAL - "&amp;B560,COMPOSICAO_AUX_2!$A:$J,10,FALSE),VLOOKUP(B560,I!$A:$D,4,FALSE))</f>
        <v>15.19</v>
      </c>
      <c r="J560" s="80">
        <f>TRUNC(H560*I560,2)</f>
        <v>0.74</v>
      </c>
      <c r="K560" s="81"/>
    </row>
    <row r="561" spans="1:13" ht="15" customHeight="1" x14ac:dyDescent="0.25">
      <c r="A561" s="16" t="s">
        <v>302</v>
      </c>
      <c r="B561" s="20">
        <v>88245</v>
      </c>
      <c r="C561" s="77" t="str">
        <f>VLOOKUP(B561,IF(A561="COMPOSICAO",S!$A:$D,I!$A:$D),2,FALSE)</f>
        <v>ARMADOR COM ENCARGOS COMPLEMENTARES</v>
      </c>
      <c r="D561" s="77"/>
      <c r="E561" s="77"/>
      <c r="F561" s="77"/>
      <c r="G561" s="16" t="str">
        <f>VLOOKUP(B561,IF(A561="COMPOSICAO",S!$A:$D,I!$A:$D),3,FALSE)</f>
        <v>H</v>
      </c>
      <c r="H561" s="30">
        <v>0.151</v>
      </c>
      <c r="I561" s="17">
        <f>IF(A561="COMPOSICAO",VLOOKUP("TOTAL - "&amp;B561,COMPOSICAO_AUX_2!$A:$J,10,FALSE),VLOOKUP(B561,I!$A:$D,4,FALSE))</f>
        <v>19.749999999999996</v>
      </c>
      <c r="J561" s="80">
        <f>TRUNC(H561*I561,2)</f>
        <v>2.98</v>
      </c>
      <c r="K561" s="81"/>
    </row>
    <row r="562" spans="1:13" ht="45" customHeight="1" x14ac:dyDescent="0.25">
      <c r="A562" s="16" t="s">
        <v>302</v>
      </c>
      <c r="B562" s="20">
        <v>92792</v>
      </c>
      <c r="C562" s="77" t="str">
        <f>VLOOKUP(B562,IF(A562="COMPOSICAO",S!$A:$D,I!$A:$D),2,FALSE)</f>
        <v>CORTE E DOBRA DE AÇO CA-50, DIÂMETRO DE 6,3 MM, UTILIZADO EM ESTRUTURAS DIVERSAS, EXCETO LAJES. AF_12/2015</v>
      </c>
      <c r="D562" s="77"/>
      <c r="E562" s="77"/>
      <c r="F562" s="77"/>
      <c r="G562" s="16" t="str">
        <f>VLOOKUP(B562,IF(A562="COMPOSICAO",S!$A:$D,I!$A:$D),3,FALSE)</f>
        <v>KG</v>
      </c>
      <c r="H562" s="17">
        <v>1</v>
      </c>
      <c r="I562" s="17">
        <f>IF(A562="COMPOSICAO",VLOOKUP("TOTAL - "&amp;B562,COMPOSICAO_AUX_2!$A:$J,10,FALSE),VLOOKUP(B562,I!$A:$D,4,FALSE))</f>
        <v>12.15</v>
      </c>
      <c r="J562" s="80">
        <f>TRUNC(H562*I562,2)</f>
        <v>12.15</v>
      </c>
      <c r="K562" s="81"/>
    </row>
    <row r="563" spans="1:13" ht="15" customHeight="1" x14ac:dyDescent="0.25">
      <c r="A563" s="23" t="s">
        <v>599</v>
      </c>
      <c r="B563" s="24"/>
      <c r="C563" s="24"/>
      <c r="D563" s="24"/>
      <c r="E563" s="24"/>
      <c r="F563" s="24"/>
      <c r="G563" s="25"/>
      <c r="H563" s="26"/>
      <c r="I563" s="27"/>
      <c r="J563" s="80">
        <f>SUM(J557:K562)</f>
        <v>16.670000000000002</v>
      </c>
      <c r="K563" s="81"/>
    </row>
    <row r="564" spans="1:13" ht="15" customHeight="1" x14ac:dyDescent="0.25">
      <c r="A564" s="3"/>
      <c r="B564" s="3"/>
      <c r="C564" s="3"/>
      <c r="D564" s="3"/>
      <c r="E564" s="3"/>
      <c r="F564" s="3"/>
      <c r="G564" s="3"/>
      <c r="H564" s="3"/>
      <c r="I564" s="3"/>
      <c r="J564" s="3"/>
      <c r="K564" s="3"/>
    </row>
    <row r="565" spans="1:13" ht="15" customHeight="1" x14ac:dyDescent="0.25">
      <c r="A565" s="10" t="s">
        <v>295</v>
      </c>
      <c r="B565" s="10" t="s">
        <v>31</v>
      </c>
      <c r="C565" s="82" t="s">
        <v>7</v>
      </c>
      <c r="D565" s="83"/>
      <c r="E565" s="83"/>
      <c r="F565" s="83"/>
      <c r="G565" s="6" t="s">
        <v>32</v>
      </c>
      <c r="H565" s="6" t="s">
        <v>296</v>
      </c>
      <c r="I565" s="6" t="s">
        <v>297</v>
      </c>
      <c r="J565" s="57" t="s">
        <v>9</v>
      </c>
      <c r="K565" s="58"/>
    </row>
    <row r="566" spans="1:13" ht="45" customHeight="1" x14ac:dyDescent="0.25">
      <c r="A566" s="6" t="s">
        <v>363</v>
      </c>
      <c r="B566" s="28">
        <v>96546</v>
      </c>
      <c r="C566" s="91" t="str">
        <f>VLOOKUP(B566,S!$A:$D,2,FALSE)</f>
        <v>ARMAÇÃO DE BLOCO, VIGA BALDRAME OU SAPATA UTILIZANDO AÇO CA-50 DE 10 MM - MONTAGEM. AF_06/2017</v>
      </c>
      <c r="D566" s="91"/>
      <c r="E566" s="91"/>
      <c r="F566" s="92"/>
      <c r="G566" s="6" t="str">
        <f>VLOOKUP(B566,S!$A:$D,3,FALSE)</f>
        <v>KG</v>
      </c>
      <c r="H566" s="21"/>
      <c r="I566" s="21">
        <f>J572</f>
        <v>14.16</v>
      </c>
      <c r="J566" s="76"/>
      <c r="K566" s="72"/>
      <c r="L566" s="21">
        <f>VLOOKUP(B566,S!$A:$D,4,FALSE)</f>
        <v>14.16</v>
      </c>
      <c r="M566" s="6" t="str">
        <f>IF(ROUND((L566-I566),2)=0,"OK, confere com a tabela.",IF(ROUND((L566-I566),2)&lt;0,"ACIMA ("&amp;TEXT(ROUND(I566*100/L566,4),"0,0000")&amp;" %) da tabela.","ABAIXO ("&amp;TEXT(ROUND(I566*100/L566,4),"0,0000")&amp;" %) da tabela."))</f>
        <v>OK, confere com a tabela.</v>
      </c>
    </row>
    <row r="567" spans="1:13" ht="45" customHeight="1" x14ac:dyDescent="0.25">
      <c r="A567" s="16" t="s">
        <v>306</v>
      </c>
      <c r="B567" s="20">
        <v>39017</v>
      </c>
      <c r="C567" s="77" t="str">
        <f>VLOOKUP(B567,IF(A567="COMPOSICAO",S!$A:$D,I!$A:$D),2,FALSE)</f>
        <v>ESPACADOR / DISTANCIADOR CIRCULAR COM ENTRADA LATERAL, EM PLASTICO, PARA VERGALHAO *4,2 A 12,5* MM, COBRIMENTO 20 MM</v>
      </c>
      <c r="D567" s="77"/>
      <c r="E567" s="77"/>
      <c r="F567" s="77"/>
      <c r="G567" s="16" t="str">
        <f>VLOOKUP(B567,IF(A567="COMPOSICAO",S!$A:$D,I!$A:$D),3,FALSE)</f>
        <v>UN</v>
      </c>
      <c r="H567" s="29">
        <v>0.46550000000000002</v>
      </c>
      <c r="I567" s="17">
        <f>IF(A567="COMPOSICAO",VLOOKUP("TOTAL - "&amp;B567,COMPOSICAO_AUX_2!$A:$J,10,FALSE),VLOOKUP(B567,I!$A:$D,4,FALSE))</f>
        <v>0.21</v>
      </c>
      <c r="J567" s="80">
        <f>TRUNC(H567*I567,2)</f>
        <v>0.09</v>
      </c>
      <c r="K567" s="81"/>
    </row>
    <row r="568" spans="1:13" ht="30" customHeight="1" x14ac:dyDescent="0.25">
      <c r="A568" s="16" t="s">
        <v>306</v>
      </c>
      <c r="B568" s="20">
        <v>43132</v>
      </c>
      <c r="C568" s="77" t="str">
        <f>VLOOKUP(B568,IF(A568="COMPOSICAO",S!$A:$D,I!$A:$D),2,FALSE)</f>
        <v>ARAME RECOZIDO 16 BWG, D = 1,65 MM (0,016 KG/M) OU 18 BWG, D = 1,25 MM (0,01 KG/M)</v>
      </c>
      <c r="D568" s="77"/>
      <c r="E568" s="77"/>
      <c r="F568" s="77"/>
      <c r="G568" s="16" t="str">
        <f>VLOOKUP(B568,IF(A568="COMPOSICAO",S!$A:$D,I!$A:$D),3,FALSE)</f>
        <v>KG</v>
      </c>
      <c r="H568" s="30">
        <v>2.5000000000000001E-2</v>
      </c>
      <c r="I568" s="17">
        <f>IF(A568="COMPOSICAO",VLOOKUP("TOTAL - "&amp;B568,COMPOSICAO_AUX_2!$A:$J,10,FALSE),VLOOKUP(B568,I!$A:$D,4,FALSE))</f>
        <v>22.75</v>
      </c>
      <c r="J568" s="80">
        <f>TRUNC(H568*I568,2)</f>
        <v>0.56000000000000005</v>
      </c>
      <c r="K568" s="81"/>
    </row>
    <row r="569" spans="1:13" ht="30" customHeight="1" x14ac:dyDescent="0.25">
      <c r="A569" s="16" t="s">
        <v>302</v>
      </c>
      <c r="B569" s="20">
        <v>88238</v>
      </c>
      <c r="C569" s="77" t="str">
        <f>VLOOKUP(B569,IF(A569="COMPOSICAO",S!$A:$D,I!$A:$D),2,FALSE)</f>
        <v>AJUDANTE DE ARMADOR COM ENCARGOS COMPLEMENTARES</v>
      </c>
      <c r="D569" s="77"/>
      <c r="E569" s="77"/>
      <c r="F569" s="77"/>
      <c r="G569" s="16" t="str">
        <f>VLOOKUP(B569,IF(A569="COMPOSICAO",S!$A:$D,I!$A:$D),3,FALSE)</f>
        <v>H</v>
      </c>
      <c r="H569" s="30">
        <v>2.9000000000000001E-2</v>
      </c>
      <c r="I569" s="17">
        <f>IF(A569="COMPOSICAO",VLOOKUP("TOTAL - "&amp;B569,COMPOSICAO_AUX_2!$A:$J,10,FALSE),VLOOKUP(B569,I!$A:$D,4,FALSE))</f>
        <v>15.19</v>
      </c>
      <c r="J569" s="80">
        <f>TRUNC(H569*I569,2)</f>
        <v>0.44</v>
      </c>
      <c r="K569" s="81"/>
    </row>
    <row r="570" spans="1:13" ht="15" customHeight="1" x14ac:dyDescent="0.25">
      <c r="A570" s="16" t="s">
        <v>302</v>
      </c>
      <c r="B570" s="20">
        <v>88245</v>
      </c>
      <c r="C570" s="77" t="str">
        <f>VLOOKUP(B570,IF(A570="COMPOSICAO",S!$A:$D,I!$A:$D),2,FALSE)</f>
        <v>ARMADOR COM ENCARGOS COMPLEMENTARES</v>
      </c>
      <c r="D570" s="77"/>
      <c r="E570" s="77"/>
      <c r="F570" s="77"/>
      <c r="G570" s="16" t="str">
        <f>VLOOKUP(B570,IF(A570="COMPOSICAO",S!$A:$D,I!$A:$D),3,FALSE)</f>
        <v>H</v>
      </c>
      <c r="H570" s="30">
        <v>8.8999999999999996E-2</v>
      </c>
      <c r="I570" s="17">
        <f>IF(A570="COMPOSICAO",VLOOKUP("TOTAL - "&amp;B570,COMPOSICAO_AUX_2!$A:$J,10,FALSE),VLOOKUP(B570,I!$A:$D,4,FALSE))</f>
        <v>19.749999999999996</v>
      </c>
      <c r="J570" s="80">
        <f>TRUNC(H570*I570,2)</f>
        <v>1.75</v>
      </c>
      <c r="K570" s="81"/>
    </row>
    <row r="571" spans="1:13" ht="45" customHeight="1" x14ac:dyDescent="0.25">
      <c r="A571" s="16" t="s">
        <v>302</v>
      </c>
      <c r="B571" s="20">
        <v>92794</v>
      </c>
      <c r="C571" s="77" t="str">
        <f>VLOOKUP(B571,IF(A571="COMPOSICAO",S!$A:$D,I!$A:$D),2,FALSE)</f>
        <v>CORTE E DOBRA DE AÇO CA-50, DIÂMETRO DE 10,0 MM, UTILIZADO EM ESTRUTURAS DIVERSAS, EXCETO LAJES. AF_12/2015</v>
      </c>
      <c r="D571" s="77"/>
      <c r="E571" s="77"/>
      <c r="F571" s="77"/>
      <c r="G571" s="16" t="str">
        <f>VLOOKUP(B571,IF(A571="COMPOSICAO",S!$A:$D,I!$A:$D),3,FALSE)</f>
        <v>KG</v>
      </c>
      <c r="H571" s="17">
        <v>1</v>
      </c>
      <c r="I571" s="17">
        <f>IF(A571="COMPOSICAO",VLOOKUP("TOTAL - "&amp;B571,COMPOSICAO_AUX_2!$A:$J,10,FALSE),VLOOKUP(B571,I!$A:$D,4,FALSE))</f>
        <v>11.32</v>
      </c>
      <c r="J571" s="80">
        <f>TRUNC(H571*I571,2)</f>
        <v>11.32</v>
      </c>
      <c r="K571" s="81"/>
    </row>
    <row r="572" spans="1:13" ht="15" customHeight="1" x14ac:dyDescent="0.25">
      <c r="A572" s="23" t="s">
        <v>600</v>
      </c>
      <c r="B572" s="24"/>
      <c r="C572" s="24"/>
      <c r="D572" s="24"/>
      <c r="E572" s="24"/>
      <c r="F572" s="24"/>
      <c r="G572" s="25"/>
      <c r="H572" s="26"/>
      <c r="I572" s="27"/>
      <c r="J572" s="80">
        <f>SUM(J566:K571)</f>
        <v>14.16</v>
      </c>
      <c r="K572" s="81"/>
    </row>
    <row r="573" spans="1:13" ht="15" customHeight="1" x14ac:dyDescent="0.25">
      <c r="A573" s="3"/>
      <c r="B573" s="3"/>
      <c r="C573" s="3"/>
      <c r="D573" s="3"/>
      <c r="E573" s="3"/>
      <c r="F573" s="3"/>
      <c r="G573" s="3"/>
      <c r="H573" s="3"/>
      <c r="I573" s="3"/>
      <c r="J573" s="3"/>
      <c r="K573" s="3"/>
    </row>
    <row r="574" spans="1:13" ht="15" customHeight="1" x14ac:dyDescent="0.25">
      <c r="A574" s="10" t="s">
        <v>295</v>
      </c>
      <c r="B574" s="10" t="s">
        <v>31</v>
      </c>
      <c r="C574" s="82" t="s">
        <v>7</v>
      </c>
      <c r="D574" s="83"/>
      <c r="E574" s="83"/>
      <c r="F574" s="83"/>
      <c r="G574" s="6" t="s">
        <v>32</v>
      </c>
      <c r="H574" s="6" t="s">
        <v>296</v>
      </c>
      <c r="I574" s="6" t="s">
        <v>297</v>
      </c>
      <c r="J574" s="57" t="s">
        <v>9</v>
      </c>
      <c r="K574" s="58"/>
    </row>
    <row r="575" spans="1:13" ht="60" customHeight="1" x14ac:dyDescent="0.25">
      <c r="A575" s="6" t="s">
        <v>363</v>
      </c>
      <c r="B575" s="28">
        <v>101982</v>
      </c>
      <c r="C575" s="91" t="str">
        <f>VLOOKUP(B575,S!$A:$D,2,FALSE)</f>
        <v>MONTAGEM E DESMONTAGEM DE FÔRMA PARA ESCADAS, COM 2 LANCES EM "U" E LAJE PLANA, EM CHAPA DE MADEIRA COMPENSADA PLASTIFICADA, 8 UTILIZAÇÕES. AF_11/2020</v>
      </c>
      <c r="D575" s="91"/>
      <c r="E575" s="91"/>
      <c r="F575" s="92"/>
      <c r="G575" s="6" t="str">
        <f>VLOOKUP(B575,S!$A:$D,3,FALSE)</f>
        <v>M2</v>
      </c>
      <c r="H575" s="21"/>
      <c r="I575" s="21">
        <f>J582</f>
        <v>141.51</v>
      </c>
      <c r="J575" s="76"/>
      <c r="K575" s="72"/>
      <c r="L575" s="21">
        <f>VLOOKUP(B575,S!$A:$D,4,FALSE)</f>
        <v>141.51</v>
      </c>
      <c r="M575" s="6" t="str">
        <f>IF(ROUND((L575-I575),2)=0,"OK, confere com a tabela.",IF(ROUND((L575-I575),2)&lt;0,"ACIMA ("&amp;TEXT(ROUND(I575*100/L575,4),"0,0000")&amp;" %) da tabela.","ABAIXO ("&amp;TEXT(ROUND(I575*100/L575,4),"0,0000")&amp;" %) da tabela."))</f>
        <v>OK, confere com a tabela.</v>
      </c>
    </row>
    <row r="576" spans="1:13" ht="30" customHeight="1" x14ac:dyDescent="0.25">
      <c r="A576" s="16" t="s">
        <v>306</v>
      </c>
      <c r="B576" s="20">
        <v>2692</v>
      </c>
      <c r="C576" s="77" t="str">
        <f>VLOOKUP(B576,IF(A576="COMPOSICAO",S!$A:$D,I!$A:$D),2,FALSE)</f>
        <v>DESMOLDANTE PROTETOR PARA FORMAS DE MADEIRA, DE BASE OLEOSA EMULSIONADA EM AGUA</v>
      </c>
      <c r="D576" s="77"/>
      <c r="E576" s="77"/>
      <c r="F576" s="77"/>
      <c r="G576" s="16" t="str">
        <f>VLOOKUP(B576,IF(A576="COMPOSICAO",S!$A:$D,I!$A:$D),3,FALSE)</f>
        <v>L</v>
      </c>
      <c r="H576" s="30">
        <v>4.0000000000000001E-3</v>
      </c>
      <c r="I576" s="17">
        <f>IF(A576="COMPOSICAO",VLOOKUP("TOTAL - "&amp;B576,COMPOSICAO_AUX_2!$A:$J,10,FALSE),VLOOKUP(B576,I!$A:$D,4,FALSE))</f>
        <v>6.94</v>
      </c>
      <c r="J576" s="80">
        <f t="shared" ref="J576:J581" si="23">TRUNC(H576*I576,2)</f>
        <v>0.02</v>
      </c>
      <c r="K576" s="81"/>
    </row>
    <row r="577" spans="1:13" ht="60" customHeight="1" x14ac:dyDescent="0.25">
      <c r="A577" s="16" t="s">
        <v>306</v>
      </c>
      <c r="B577" s="20">
        <v>10749</v>
      </c>
      <c r="C577" s="77" t="str">
        <f>VLOOKUP(B577,IF(A577="COMPOSICAO",S!$A:$D,I!$A:$D),2,FALSE)</f>
        <v>LOCACAO DE ESCORA METALICA TELESCOPICA, COM ALTURA REGULAVEL DE *1,80* A *3,20* M, COM CAPACIDADE DE CARGA DE NO MINIMO 1000 KGF (10 KN), INCLUSO TRIPE E FORCADO</v>
      </c>
      <c r="D577" s="77"/>
      <c r="E577" s="77"/>
      <c r="F577" s="77"/>
      <c r="G577" s="16" t="str">
        <f>VLOOKUP(B577,IF(A577="COMPOSICAO",S!$A:$D,I!$A:$D),3,FALSE)</f>
        <v>MES</v>
      </c>
      <c r="H577" s="30">
        <v>1.8640000000000001</v>
      </c>
      <c r="I577" s="17">
        <f>IF(A577="COMPOSICAO",VLOOKUP("TOTAL - "&amp;B577,COMPOSICAO_AUX_2!$A:$J,10,FALSE),VLOOKUP(B577,I!$A:$D,4,FALSE))</f>
        <v>3.23</v>
      </c>
      <c r="J577" s="80">
        <f t="shared" si="23"/>
        <v>6.02</v>
      </c>
      <c r="K577" s="81"/>
    </row>
    <row r="578" spans="1:13" ht="30" customHeight="1" x14ac:dyDescent="0.25">
      <c r="A578" s="16" t="s">
        <v>306</v>
      </c>
      <c r="B578" s="20">
        <v>40304</v>
      </c>
      <c r="C578" s="77" t="str">
        <f>VLOOKUP(B578,IF(A578="COMPOSICAO",S!$A:$D,I!$A:$D),2,FALSE)</f>
        <v>PREGO DE ACO POLIDO COM CABECA DUPLA 17 X 27 (2 1/2 X 11)</v>
      </c>
      <c r="D578" s="77"/>
      <c r="E578" s="77"/>
      <c r="F578" s="77"/>
      <c r="G578" s="16" t="str">
        <f>VLOOKUP(B578,IF(A578="COMPOSICAO",S!$A:$D,I!$A:$D),3,FALSE)</f>
        <v>KG</v>
      </c>
      <c r="H578" s="17">
        <v>7.0000000000000007E-2</v>
      </c>
      <c r="I578" s="17">
        <f>IF(A578="COMPOSICAO",VLOOKUP("TOTAL - "&amp;B578,COMPOSICAO_AUX_2!$A:$J,10,FALSE),VLOOKUP(B578,I!$A:$D,4,FALSE))</f>
        <v>23.85</v>
      </c>
      <c r="J578" s="80">
        <f t="shared" si="23"/>
        <v>1.66</v>
      </c>
      <c r="K578" s="81"/>
    </row>
    <row r="579" spans="1:13" ht="30" customHeight="1" x14ac:dyDescent="0.25">
      <c r="A579" s="16" t="s">
        <v>302</v>
      </c>
      <c r="B579" s="20">
        <v>88239</v>
      </c>
      <c r="C579" s="77" t="str">
        <f>VLOOKUP(B579,IF(A579="COMPOSICAO",S!$A:$D,I!$A:$D),2,FALSE)</f>
        <v>AJUDANTE DE CARPINTEIRO COM ENCARGOS COMPLEMENTARES</v>
      </c>
      <c r="D579" s="77"/>
      <c r="E579" s="77"/>
      <c r="F579" s="77"/>
      <c r="G579" s="16" t="str">
        <f>VLOOKUP(B579,IF(A579="COMPOSICAO",S!$A:$D,I!$A:$D),3,FALSE)</f>
        <v>H</v>
      </c>
      <c r="H579" s="30">
        <v>0.49299999999999999</v>
      </c>
      <c r="I579" s="17">
        <f>IF(A579="COMPOSICAO",VLOOKUP("TOTAL - "&amp;B579,COMPOSICAO_AUX_2!$A:$J,10,FALSE),VLOOKUP(B579,I!$A:$D,4,FALSE))</f>
        <v>16.470000000000002</v>
      </c>
      <c r="J579" s="80">
        <f t="shared" si="23"/>
        <v>8.11</v>
      </c>
      <c r="K579" s="81"/>
    </row>
    <row r="580" spans="1:13" ht="30" customHeight="1" x14ac:dyDescent="0.25">
      <c r="A580" s="16" t="s">
        <v>302</v>
      </c>
      <c r="B580" s="20">
        <v>88262</v>
      </c>
      <c r="C580" s="77" t="str">
        <f>VLOOKUP(B580,IF(A580="COMPOSICAO",S!$A:$D,I!$A:$D),2,FALSE)</f>
        <v>CARPINTEIRO DE FORMAS COM ENCARGOS COMPLEMENTARES</v>
      </c>
      <c r="D580" s="77"/>
      <c r="E580" s="77"/>
      <c r="F580" s="77"/>
      <c r="G580" s="16" t="str">
        <f>VLOOKUP(B580,IF(A580="COMPOSICAO",S!$A:$D,I!$A:$D),3,FALSE)</f>
        <v>H</v>
      </c>
      <c r="H580" s="30">
        <v>2.9609999999999999</v>
      </c>
      <c r="I580" s="17">
        <f>IF(A580="COMPOSICAO",VLOOKUP("TOTAL - "&amp;B580,COMPOSICAO_AUX_2!$A:$J,10,FALSE),VLOOKUP(B580,I!$A:$D,4,FALSE))</f>
        <v>19.649999999999999</v>
      </c>
      <c r="J580" s="80">
        <f t="shared" si="23"/>
        <v>58.18</v>
      </c>
      <c r="K580" s="81"/>
    </row>
    <row r="581" spans="1:13" ht="45" customHeight="1" x14ac:dyDescent="0.25">
      <c r="A581" s="16" t="s">
        <v>302</v>
      </c>
      <c r="B581" s="20">
        <v>101969</v>
      </c>
      <c r="C581" s="77" t="str">
        <f>VLOOKUP(B581,IF(A581="COMPOSICAO",S!$A:$D,I!$A:$D),2,FALSE)</f>
        <v>FABRICAÇÃO DE FÔRMA PARA ESCADAS, COM 2 LANCES EM "U" E LAJE PLANA, EM CHAPA DE MADEIRA COMPENSADA PLASTIFICADA, E=18 MM. AF_11/2020</v>
      </c>
      <c r="D581" s="77"/>
      <c r="E581" s="77"/>
      <c r="F581" s="77"/>
      <c r="G581" s="16" t="str">
        <f>VLOOKUP(B581,IF(A581="COMPOSICAO",S!$A:$D,I!$A:$D),3,FALSE)</f>
        <v>M2</v>
      </c>
      <c r="H581" s="17">
        <v>0.45</v>
      </c>
      <c r="I581" s="17">
        <f>IF(A581="COMPOSICAO",VLOOKUP("TOTAL - "&amp;B581,COMPOSICAO_AUX_2!$A:$J,10,FALSE),VLOOKUP(B581,I!$A:$D,4,FALSE))</f>
        <v>150.04999999999998</v>
      </c>
      <c r="J581" s="80">
        <f t="shared" si="23"/>
        <v>67.52</v>
      </c>
      <c r="K581" s="81"/>
    </row>
    <row r="582" spans="1:13" ht="15" customHeight="1" x14ac:dyDescent="0.25">
      <c r="A582" s="23" t="s">
        <v>601</v>
      </c>
      <c r="B582" s="24"/>
      <c r="C582" s="24"/>
      <c r="D582" s="24"/>
      <c r="E582" s="24"/>
      <c r="F582" s="24"/>
      <c r="G582" s="25"/>
      <c r="H582" s="26"/>
      <c r="I582" s="27"/>
      <c r="J582" s="80">
        <f>SUM(J575:K581)</f>
        <v>141.51</v>
      </c>
      <c r="K582" s="81"/>
    </row>
    <row r="583" spans="1:13" ht="15" customHeight="1" x14ac:dyDescent="0.25">
      <c r="A583" s="3"/>
      <c r="B583" s="3"/>
      <c r="C583" s="3"/>
      <c r="D583" s="3"/>
      <c r="E583" s="3"/>
      <c r="F583" s="3"/>
      <c r="G583" s="3"/>
      <c r="H583" s="3"/>
      <c r="I583" s="3"/>
      <c r="J583" s="3"/>
      <c r="K583" s="3"/>
    </row>
    <row r="584" spans="1:13" ht="15" customHeight="1" x14ac:dyDescent="0.25">
      <c r="A584" s="10" t="s">
        <v>295</v>
      </c>
      <c r="B584" s="10" t="s">
        <v>31</v>
      </c>
      <c r="C584" s="82" t="s">
        <v>7</v>
      </c>
      <c r="D584" s="83"/>
      <c r="E584" s="83"/>
      <c r="F584" s="83"/>
      <c r="G584" s="6" t="s">
        <v>32</v>
      </c>
      <c r="H584" s="6" t="s">
        <v>296</v>
      </c>
      <c r="I584" s="6" t="s">
        <v>297</v>
      </c>
      <c r="J584" s="57" t="s">
        <v>9</v>
      </c>
      <c r="K584" s="58"/>
    </row>
    <row r="585" spans="1:13" ht="30" customHeight="1" x14ac:dyDescent="0.25">
      <c r="A585" s="6" t="s">
        <v>502</v>
      </c>
      <c r="B585" s="28">
        <v>88243</v>
      </c>
      <c r="C585" s="91" t="str">
        <f>VLOOKUP(B585,S!$A:$D,2,FALSE)</f>
        <v>AJUDANTE ESPECIALIZADO COM ENCARGOS COMPLEMENTARES</v>
      </c>
      <c r="D585" s="91"/>
      <c r="E585" s="91"/>
      <c r="F585" s="92"/>
      <c r="G585" s="6" t="str">
        <f>VLOOKUP(B585,S!$A:$D,3,FALSE)</f>
        <v>H</v>
      </c>
      <c r="H585" s="21"/>
      <c r="I585" s="21">
        <f>J594</f>
        <v>18.440000000000001</v>
      </c>
      <c r="J585" s="76"/>
      <c r="K585" s="72"/>
      <c r="L585" s="21">
        <f>VLOOKUP(B585,S!$A:$D,4,FALSE)</f>
        <v>18.440000000000001</v>
      </c>
      <c r="M585" s="6" t="str">
        <f>IF(ROUND((L585-I585),2)=0,"OK, confere com a tabela.",IF(ROUND((L585-I585),2)&lt;0,"ACIMA ("&amp;TEXT(ROUND(I585*100/L585,4),"0,0000")&amp;" %) da tabela.","ABAIXO ("&amp;TEXT(ROUND(I585*100/L585,4),"0,0000")&amp;" %) da tabela."))</f>
        <v>OK, confere com a tabela.</v>
      </c>
    </row>
    <row r="586" spans="1:13" ht="15" customHeight="1" x14ac:dyDescent="0.25">
      <c r="A586" s="16" t="s">
        <v>306</v>
      </c>
      <c r="B586" s="20">
        <v>242</v>
      </c>
      <c r="C586" s="77" t="str">
        <f>VLOOKUP(B586,IF(A586="COMPOSICAO",S!$A:$D,I!$A:$D),2,FALSE)</f>
        <v>AJUDANTE ESPECIALIZADO</v>
      </c>
      <c r="D586" s="77"/>
      <c r="E586" s="77"/>
      <c r="F586" s="77"/>
      <c r="G586" s="16" t="str">
        <f>VLOOKUP(B586,IF(A586="COMPOSICAO",S!$A:$D,I!$A:$D),3,FALSE)</f>
        <v>H</v>
      </c>
      <c r="H586" s="17">
        <v>1</v>
      </c>
      <c r="I586" s="17">
        <f>IF(A586="COMPOSICAO",VLOOKUP("TOTAL - "&amp;B586,COMPOSICAO_AUX_2!$A:$J,10,FALSE),VLOOKUP(B586,I!$A:$D,4,FALSE))</f>
        <v>13.74</v>
      </c>
      <c r="J586" s="80">
        <f t="shared" ref="J586:J593" si="24">TRUNC(H586*I586,2)</f>
        <v>13.74</v>
      </c>
      <c r="K586" s="81"/>
    </row>
    <row r="587" spans="1:13" ht="15" customHeight="1" x14ac:dyDescent="0.25">
      <c r="A587" s="16" t="s">
        <v>306</v>
      </c>
      <c r="B587" s="20">
        <v>37370</v>
      </c>
      <c r="C587" s="77" t="str">
        <f>VLOOKUP(B587,IF(A587="COMPOSICAO",S!$A:$D,I!$A:$D),2,FALSE)</f>
        <v>ALIMENTACAO - HORISTA (COLETADO CAIXA)</v>
      </c>
      <c r="D587" s="77"/>
      <c r="E587" s="77"/>
      <c r="F587" s="77"/>
      <c r="G587" s="16" t="str">
        <f>VLOOKUP(B587,IF(A587="COMPOSICAO",S!$A:$D,I!$A:$D),3,FALSE)</f>
        <v>H</v>
      </c>
      <c r="H587" s="17">
        <v>1</v>
      </c>
      <c r="I587" s="17">
        <f>IF(A587="COMPOSICAO",VLOOKUP("TOTAL - "&amp;B587,COMPOSICAO_AUX_2!$A:$J,10,FALSE),VLOOKUP(B587,I!$A:$D,4,FALSE))</f>
        <v>1.86</v>
      </c>
      <c r="J587" s="80">
        <f t="shared" si="24"/>
        <v>1.86</v>
      </c>
      <c r="K587" s="81"/>
    </row>
    <row r="588" spans="1:13" ht="15" customHeight="1" x14ac:dyDescent="0.25">
      <c r="A588" s="16" t="s">
        <v>306</v>
      </c>
      <c r="B588" s="20">
        <v>37371</v>
      </c>
      <c r="C588" s="77" t="str">
        <f>VLOOKUP(B588,IF(A588="COMPOSICAO",S!$A:$D,I!$A:$D),2,FALSE)</f>
        <v>TRANSPORTE - HORISTA (COLETADO CAIXA)</v>
      </c>
      <c r="D588" s="77"/>
      <c r="E588" s="77"/>
      <c r="F588" s="77"/>
      <c r="G588" s="16" t="str">
        <f>VLOOKUP(B588,IF(A588="COMPOSICAO",S!$A:$D,I!$A:$D),3,FALSE)</f>
        <v>H</v>
      </c>
      <c r="H588" s="17">
        <v>1</v>
      </c>
      <c r="I588" s="17">
        <f>IF(A588="COMPOSICAO",VLOOKUP("TOTAL - "&amp;B588,COMPOSICAO_AUX_2!$A:$J,10,FALSE),VLOOKUP(B588,I!$A:$D,4,FALSE))</f>
        <v>0.7</v>
      </c>
      <c r="J588" s="80">
        <f t="shared" si="24"/>
        <v>0.7</v>
      </c>
      <c r="K588" s="81"/>
    </row>
    <row r="589" spans="1:13" ht="15" customHeight="1" x14ac:dyDescent="0.25">
      <c r="A589" s="16" t="s">
        <v>306</v>
      </c>
      <c r="B589" s="20">
        <v>37372</v>
      </c>
      <c r="C589" s="77" t="str">
        <f>VLOOKUP(B589,IF(A589="COMPOSICAO",S!$A:$D,I!$A:$D),2,FALSE)</f>
        <v>EXAMES - HORISTA (COLETADO CAIXA)</v>
      </c>
      <c r="D589" s="77"/>
      <c r="E589" s="77"/>
      <c r="F589" s="77"/>
      <c r="G589" s="16" t="str">
        <f>VLOOKUP(B589,IF(A589="COMPOSICAO",S!$A:$D,I!$A:$D),3,FALSE)</f>
        <v>H</v>
      </c>
      <c r="H589" s="17">
        <v>1</v>
      </c>
      <c r="I589" s="17">
        <f>IF(A589="COMPOSICAO",VLOOKUP("TOTAL - "&amp;B589,COMPOSICAO_AUX_2!$A:$J,10,FALSE),VLOOKUP(B589,I!$A:$D,4,FALSE))</f>
        <v>0.55000000000000004</v>
      </c>
      <c r="J589" s="80">
        <f t="shared" si="24"/>
        <v>0.55000000000000004</v>
      </c>
      <c r="K589" s="81"/>
    </row>
    <row r="590" spans="1:13" ht="15" customHeight="1" x14ac:dyDescent="0.25">
      <c r="A590" s="16" t="s">
        <v>306</v>
      </c>
      <c r="B590" s="20">
        <v>37373</v>
      </c>
      <c r="C590" s="77" t="str">
        <f>VLOOKUP(B590,IF(A590="COMPOSICAO",S!$A:$D,I!$A:$D),2,FALSE)</f>
        <v>SEGURO - HORISTA (COLETADO CAIXA)</v>
      </c>
      <c r="D590" s="77"/>
      <c r="E590" s="77"/>
      <c r="F590" s="77"/>
      <c r="G590" s="16" t="str">
        <f>VLOOKUP(B590,IF(A590="COMPOSICAO",S!$A:$D,I!$A:$D),3,FALSE)</f>
        <v>H</v>
      </c>
      <c r="H590" s="17">
        <v>1</v>
      </c>
      <c r="I590" s="17">
        <f>IF(A590="COMPOSICAO",VLOOKUP("TOTAL - "&amp;B590,COMPOSICAO_AUX_2!$A:$J,10,FALSE),VLOOKUP(B590,I!$A:$D,4,FALSE))</f>
        <v>0.06</v>
      </c>
      <c r="J590" s="80">
        <f t="shared" si="24"/>
        <v>0.06</v>
      </c>
      <c r="K590" s="81"/>
    </row>
    <row r="591" spans="1:13" ht="30" customHeight="1" x14ac:dyDescent="0.25">
      <c r="A591" s="16" t="s">
        <v>306</v>
      </c>
      <c r="B591" s="20">
        <v>43467</v>
      </c>
      <c r="C591" s="77" t="str">
        <f>VLOOKUP(B591,IF(A591="COMPOSICAO",S!$A:$D,I!$A:$D),2,FALSE)</f>
        <v>FERRAMENTAS - FAMILIA SERVENTE - HORISTA (ENCARGOS COMPLEMENTARES - COLETADO CAIXA)</v>
      </c>
      <c r="D591" s="77"/>
      <c r="E591" s="77"/>
      <c r="F591" s="77"/>
      <c r="G591" s="16" t="str">
        <f>VLOOKUP(B591,IF(A591="COMPOSICAO",S!$A:$D,I!$A:$D),3,FALSE)</f>
        <v>H</v>
      </c>
      <c r="H591" s="17">
        <v>1</v>
      </c>
      <c r="I591" s="17">
        <f>IF(A591="COMPOSICAO",VLOOKUP("TOTAL - "&amp;B591,COMPOSICAO_AUX_2!$A:$J,10,FALSE),VLOOKUP(B591,I!$A:$D,4,FALSE))</f>
        <v>0.41</v>
      </c>
      <c r="J591" s="80">
        <f t="shared" si="24"/>
        <v>0.41</v>
      </c>
      <c r="K591" s="81"/>
    </row>
    <row r="592" spans="1:13" ht="30" customHeight="1" x14ac:dyDescent="0.25">
      <c r="A592" s="16" t="s">
        <v>306</v>
      </c>
      <c r="B592" s="20">
        <v>43491</v>
      </c>
      <c r="C592" s="77" t="str">
        <f>VLOOKUP(B592,IF(A592="COMPOSICAO",S!$A:$D,I!$A:$D),2,FALSE)</f>
        <v>EPI - FAMILIA SERVENTE - HORISTA (ENCARGOS COMPLEMENTARES - COLETADO CAIXA)</v>
      </c>
      <c r="D592" s="77"/>
      <c r="E592" s="77"/>
      <c r="F592" s="77"/>
      <c r="G592" s="16" t="str">
        <f>VLOOKUP(B592,IF(A592="COMPOSICAO",S!$A:$D,I!$A:$D),3,FALSE)</f>
        <v>H</v>
      </c>
      <c r="H592" s="17">
        <v>1</v>
      </c>
      <c r="I592" s="17">
        <f>IF(A592="COMPOSICAO",VLOOKUP("TOTAL - "&amp;B592,COMPOSICAO_AUX_2!$A:$J,10,FALSE),VLOOKUP(B592,I!$A:$D,4,FALSE))</f>
        <v>1.01</v>
      </c>
      <c r="J592" s="80">
        <f t="shared" si="24"/>
        <v>1.01</v>
      </c>
      <c r="K592" s="81"/>
    </row>
    <row r="593" spans="1:13" ht="30" customHeight="1" x14ac:dyDescent="0.25">
      <c r="A593" s="16" t="s">
        <v>302</v>
      </c>
      <c r="B593" s="20">
        <v>95313</v>
      </c>
      <c r="C593" s="77" t="str">
        <f>VLOOKUP(B593,IF(A593="COMPOSICAO",S!$A:$D,I!$A:$D),2,FALSE)</f>
        <v>CURSO DE CAPACITAÇÃO PARA AJUDANTE ESPECIALIZADO (ENCARGOS COMPLEMENTARES) - HORISTA</v>
      </c>
      <c r="D593" s="77"/>
      <c r="E593" s="77"/>
      <c r="F593" s="77"/>
      <c r="G593" s="16" t="str">
        <f>VLOOKUP(B593,IF(A593="COMPOSICAO",S!$A:$D,I!$A:$D),3,FALSE)</f>
        <v>H</v>
      </c>
      <c r="H593" s="17">
        <v>1</v>
      </c>
      <c r="I593" s="17">
        <f>IF(A593="COMPOSICAO",VLOOKUP("TOTAL - "&amp;B593,COMPOSICAO_AUX_2!$A:$J,10,FALSE),VLOOKUP(B593,I!$A:$D,4,FALSE))</f>
        <v>0.11</v>
      </c>
      <c r="J593" s="80">
        <f t="shared" si="24"/>
        <v>0.11</v>
      </c>
      <c r="K593" s="81"/>
    </row>
    <row r="594" spans="1:13" ht="15" customHeight="1" x14ac:dyDescent="0.25">
      <c r="A594" s="23" t="s">
        <v>602</v>
      </c>
      <c r="B594" s="24"/>
      <c r="C594" s="24"/>
      <c r="D594" s="24"/>
      <c r="E594" s="24"/>
      <c r="F594" s="24"/>
      <c r="G594" s="25"/>
      <c r="H594" s="26"/>
      <c r="I594" s="27"/>
      <c r="J594" s="80">
        <f>SUM(J585:K593)</f>
        <v>18.440000000000001</v>
      </c>
      <c r="K594" s="81"/>
    </row>
    <row r="595" spans="1:13" ht="15" customHeight="1" x14ac:dyDescent="0.25">
      <c r="A595" s="3"/>
      <c r="B595" s="3"/>
      <c r="C595" s="3"/>
      <c r="D595" s="3"/>
      <c r="E595" s="3"/>
      <c r="F595" s="3"/>
      <c r="G595" s="3"/>
      <c r="H595" s="3"/>
      <c r="I595" s="3"/>
      <c r="J595" s="3"/>
      <c r="K595" s="3"/>
    </row>
    <row r="596" spans="1:13" ht="15" customHeight="1" x14ac:dyDescent="0.25">
      <c r="A596" s="10" t="s">
        <v>295</v>
      </c>
      <c r="B596" s="10" t="s">
        <v>31</v>
      </c>
      <c r="C596" s="82" t="s">
        <v>7</v>
      </c>
      <c r="D596" s="83"/>
      <c r="E596" s="83"/>
      <c r="F596" s="83"/>
      <c r="G596" s="6" t="s">
        <v>32</v>
      </c>
      <c r="H596" s="6" t="s">
        <v>296</v>
      </c>
      <c r="I596" s="6" t="s">
        <v>297</v>
      </c>
      <c r="J596" s="57" t="s">
        <v>9</v>
      </c>
      <c r="K596" s="58"/>
    </row>
    <row r="597" spans="1:13" ht="15" customHeight="1" x14ac:dyDescent="0.25">
      <c r="A597" s="6" t="s">
        <v>502</v>
      </c>
      <c r="B597" s="28">
        <v>88270</v>
      </c>
      <c r="C597" s="91" t="str">
        <f>VLOOKUP(B597,S!$A:$D,2,FALSE)</f>
        <v>IMPERMEABILIZADOR COM ENCARGOS COMPLEMENTARES</v>
      </c>
      <c r="D597" s="91"/>
      <c r="E597" s="91"/>
      <c r="F597" s="92"/>
      <c r="G597" s="6" t="str">
        <f>VLOOKUP(B597,S!$A:$D,3,FALSE)</f>
        <v>H</v>
      </c>
      <c r="H597" s="21"/>
      <c r="I597" s="21">
        <f>J606</f>
        <v>19.849999999999994</v>
      </c>
      <c r="J597" s="76"/>
      <c r="K597" s="72"/>
      <c r="L597" s="21">
        <f>VLOOKUP(B597,S!$A:$D,4,FALSE)</f>
        <v>19.850000000000001</v>
      </c>
      <c r="M597" s="6" t="str">
        <f>IF(ROUND((L597-I597),2)=0,"OK, confere com a tabela.",IF(ROUND((L597-I597),2)&lt;0,"ACIMA ("&amp;TEXT(ROUND(I597*100/L597,4),"0,0000")&amp;" %) da tabela.","ABAIXO ("&amp;TEXT(ROUND(I597*100/L597,4),"0,0000")&amp;" %) da tabela."))</f>
        <v>OK, confere com a tabela.</v>
      </c>
    </row>
    <row r="598" spans="1:13" ht="15" customHeight="1" x14ac:dyDescent="0.25">
      <c r="A598" s="16" t="s">
        <v>306</v>
      </c>
      <c r="B598" s="20">
        <v>12873</v>
      </c>
      <c r="C598" s="77" t="str">
        <f>VLOOKUP(B598,IF(A598="COMPOSICAO",S!$A:$D,I!$A:$D),2,FALSE)</f>
        <v>IMPERMEABILIZADOR</v>
      </c>
      <c r="D598" s="77"/>
      <c r="E598" s="77"/>
      <c r="F598" s="77"/>
      <c r="G598" s="16" t="str">
        <f>VLOOKUP(B598,IF(A598="COMPOSICAO",S!$A:$D,I!$A:$D),3,FALSE)</f>
        <v>H</v>
      </c>
      <c r="H598" s="17">
        <v>1</v>
      </c>
      <c r="I598" s="17">
        <f>IF(A598="COMPOSICAO",VLOOKUP("TOTAL - "&amp;B598,COMPOSICAO_AUX_2!$A:$J,10,FALSE),VLOOKUP(B598,I!$A:$D,4,FALSE))</f>
        <v>14.93</v>
      </c>
      <c r="J598" s="80">
        <f t="shared" ref="J598:J605" si="25">TRUNC(H598*I598,2)</f>
        <v>14.93</v>
      </c>
      <c r="K598" s="81"/>
    </row>
    <row r="599" spans="1:13" ht="15" customHeight="1" x14ac:dyDescent="0.25">
      <c r="A599" s="16" t="s">
        <v>306</v>
      </c>
      <c r="B599" s="20">
        <v>37370</v>
      </c>
      <c r="C599" s="77" t="str">
        <f>VLOOKUP(B599,IF(A599="COMPOSICAO",S!$A:$D,I!$A:$D),2,FALSE)</f>
        <v>ALIMENTACAO - HORISTA (COLETADO CAIXA)</v>
      </c>
      <c r="D599" s="77"/>
      <c r="E599" s="77"/>
      <c r="F599" s="77"/>
      <c r="G599" s="16" t="str">
        <f>VLOOKUP(B599,IF(A599="COMPOSICAO",S!$A:$D,I!$A:$D),3,FALSE)</f>
        <v>H</v>
      </c>
      <c r="H599" s="17">
        <v>1</v>
      </c>
      <c r="I599" s="17">
        <f>IF(A599="COMPOSICAO",VLOOKUP("TOTAL - "&amp;B599,COMPOSICAO_AUX_2!$A:$J,10,FALSE),VLOOKUP(B599,I!$A:$D,4,FALSE))</f>
        <v>1.86</v>
      </c>
      <c r="J599" s="80">
        <f t="shared" si="25"/>
        <v>1.86</v>
      </c>
      <c r="K599" s="81"/>
    </row>
    <row r="600" spans="1:13" ht="15" customHeight="1" x14ac:dyDescent="0.25">
      <c r="A600" s="16" t="s">
        <v>306</v>
      </c>
      <c r="B600" s="20">
        <v>37371</v>
      </c>
      <c r="C600" s="77" t="str">
        <f>VLOOKUP(B600,IF(A600="COMPOSICAO",S!$A:$D,I!$A:$D),2,FALSE)</f>
        <v>TRANSPORTE - HORISTA (COLETADO CAIXA)</v>
      </c>
      <c r="D600" s="77"/>
      <c r="E600" s="77"/>
      <c r="F600" s="77"/>
      <c r="G600" s="16" t="str">
        <f>VLOOKUP(B600,IF(A600="COMPOSICAO",S!$A:$D,I!$A:$D),3,FALSE)</f>
        <v>H</v>
      </c>
      <c r="H600" s="17">
        <v>1</v>
      </c>
      <c r="I600" s="17">
        <f>IF(A600="COMPOSICAO",VLOOKUP("TOTAL - "&amp;B600,COMPOSICAO_AUX_2!$A:$J,10,FALSE),VLOOKUP(B600,I!$A:$D,4,FALSE))</f>
        <v>0.7</v>
      </c>
      <c r="J600" s="80">
        <f t="shared" si="25"/>
        <v>0.7</v>
      </c>
      <c r="K600" s="81"/>
    </row>
    <row r="601" spans="1:13" ht="15" customHeight="1" x14ac:dyDescent="0.25">
      <c r="A601" s="16" t="s">
        <v>306</v>
      </c>
      <c r="B601" s="20">
        <v>37372</v>
      </c>
      <c r="C601" s="77" t="str">
        <f>VLOOKUP(B601,IF(A601="COMPOSICAO",S!$A:$D,I!$A:$D),2,FALSE)</f>
        <v>EXAMES - HORISTA (COLETADO CAIXA)</v>
      </c>
      <c r="D601" s="77"/>
      <c r="E601" s="77"/>
      <c r="F601" s="77"/>
      <c r="G601" s="16" t="str">
        <f>VLOOKUP(B601,IF(A601="COMPOSICAO",S!$A:$D,I!$A:$D),3,FALSE)</f>
        <v>H</v>
      </c>
      <c r="H601" s="17">
        <v>1</v>
      </c>
      <c r="I601" s="17">
        <f>IF(A601="COMPOSICAO",VLOOKUP("TOTAL - "&amp;B601,COMPOSICAO_AUX_2!$A:$J,10,FALSE),VLOOKUP(B601,I!$A:$D,4,FALSE))</f>
        <v>0.55000000000000004</v>
      </c>
      <c r="J601" s="80">
        <f t="shared" si="25"/>
        <v>0.55000000000000004</v>
      </c>
      <c r="K601" s="81"/>
    </row>
    <row r="602" spans="1:13" ht="15" customHeight="1" x14ac:dyDescent="0.25">
      <c r="A602" s="16" t="s">
        <v>306</v>
      </c>
      <c r="B602" s="20">
        <v>37373</v>
      </c>
      <c r="C602" s="77" t="str">
        <f>VLOOKUP(B602,IF(A602="COMPOSICAO",S!$A:$D,I!$A:$D),2,FALSE)</f>
        <v>SEGURO - HORISTA (COLETADO CAIXA)</v>
      </c>
      <c r="D602" s="77"/>
      <c r="E602" s="77"/>
      <c r="F602" s="77"/>
      <c r="G602" s="16" t="str">
        <f>VLOOKUP(B602,IF(A602="COMPOSICAO",S!$A:$D,I!$A:$D),3,FALSE)</f>
        <v>H</v>
      </c>
      <c r="H602" s="17">
        <v>1</v>
      </c>
      <c r="I602" s="17">
        <f>IF(A602="COMPOSICAO",VLOOKUP("TOTAL - "&amp;B602,COMPOSICAO_AUX_2!$A:$J,10,FALSE),VLOOKUP(B602,I!$A:$D,4,FALSE))</f>
        <v>0.06</v>
      </c>
      <c r="J602" s="80">
        <f t="shared" si="25"/>
        <v>0.06</v>
      </c>
      <c r="K602" s="81"/>
    </row>
    <row r="603" spans="1:13" ht="30" customHeight="1" x14ac:dyDescent="0.25">
      <c r="A603" s="16" t="s">
        <v>306</v>
      </c>
      <c r="B603" s="20">
        <v>43465</v>
      </c>
      <c r="C603" s="77" t="str">
        <f>VLOOKUP(B603,IF(A603="COMPOSICAO",S!$A:$D,I!$A:$D),2,FALSE)</f>
        <v>FERRAMENTAS - FAMILIA PEDREIRO - HORISTA (ENCARGOS COMPLEMENTARES - COLETADO CAIXA)</v>
      </c>
      <c r="D603" s="77"/>
      <c r="E603" s="77"/>
      <c r="F603" s="77"/>
      <c r="G603" s="16" t="str">
        <f>VLOOKUP(B603,IF(A603="COMPOSICAO",S!$A:$D,I!$A:$D),3,FALSE)</f>
        <v>H</v>
      </c>
      <c r="H603" s="17">
        <v>1</v>
      </c>
      <c r="I603" s="17">
        <f>IF(A603="COMPOSICAO",VLOOKUP("TOTAL - "&amp;B603,COMPOSICAO_AUX_2!$A:$J,10,FALSE),VLOOKUP(B603,I!$A:$D,4,FALSE))</f>
        <v>0.57999999999999996</v>
      </c>
      <c r="J603" s="80">
        <f t="shared" si="25"/>
        <v>0.57999999999999996</v>
      </c>
      <c r="K603" s="81"/>
    </row>
    <row r="604" spans="1:13" ht="30" customHeight="1" x14ac:dyDescent="0.25">
      <c r="A604" s="16" t="s">
        <v>306</v>
      </c>
      <c r="B604" s="20">
        <v>43489</v>
      </c>
      <c r="C604" s="77" t="str">
        <f>VLOOKUP(B604,IF(A604="COMPOSICAO",S!$A:$D,I!$A:$D),2,FALSE)</f>
        <v>EPI - FAMILIA PEDREIRO - HORISTA (ENCARGOS COMPLEMENTARES - COLETADO CAIXA)</v>
      </c>
      <c r="D604" s="77"/>
      <c r="E604" s="77"/>
      <c r="F604" s="77"/>
      <c r="G604" s="16" t="str">
        <f>VLOOKUP(B604,IF(A604="COMPOSICAO",S!$A:$D,I!$A:$D),3,FALSE)</f>
        <v>H</v>
      </c>
      <c r="H604" s="17">
        <v>1</v>
      </c>
      <c r="I604" s="17">
        <f>IF(A604="COMPOSICAO",VLOOKUP("TOTAL - "&amp;B604,COMPOSICAO_AUX_2!$A:$J,10,FALSE),VLOOKUP(B604,I!$A:$D,4,FALSE))</f>
        <v>0.95</v>
      </c>
      <c r="J604" s="80">
        <f t="shared" si="25"/>
        <v>0.95</v>
      </c>
      <c r="K604" s="81"/>
    </row>
    <row r="605" spans="1:13" ht="30" customHeight="1" x14ac:dyDescent="0.25">
      <c r="A605" s="16" t="s">
        <v>302</v>
      </c>
      <c r="B605" s="20">
        <v>95338</v>
      </c>
      <c r="C605" s="77" t="str">
        <f>VLOOKUP(B605,IF(A605="COMPOSICAO",S!$A:$D,I!$A:$D),2,FALSE)</f>
        <v>CURSO DE CAPACITAÇÃO PARA IMPERMEABILIZADOR (ENCARGOS COMPLEMENTARES) - HORISTA</v>
      </c>
      <c r="D605" s="77"/>
      <c r="E605" s="77"/>
      <c r="F605" s="77"/>
      <c r="G605" s="16" t="str">
        <f>VLOOKUP(B605,IF(A605="COMPOSICAO",S!$A:$D,I!$A:$D),3,FALSE)</f>
        <v>H</v>
      </c>
      <c r="H605" s="17">
        <v>1</v>
      </c>
      <c r="I605" s="17">
        <f>IF(A605="COMPOSICAO",VLOOKUP("TOTAL - "&amp;B605,COMPOSICAO_AUX_2!$A:$J,10,FALSE),VLOOKUP(B605,I!$A:$D,4,FALSE))</f>
        <v>0.22</v>
      </c>
      <c r="J605" s="80">
        <f t="shared" si="25"/>
        <v>0.22</v>
      </c>
      <c r="K605" s="81"/>
    </row>
    <row r="606" spans="1:13" ht="15" customHeight="1" x14ac:dyDescent="0.25">
      <c r="A606" s="23" t="s">
        <v>603</v>
      </c>
      <c r="B606" s="24"/>
      <c r="C606" s="24"/>
      <c r="D606" s="24"/>
      <c r="E606" s="24"/>
      <c r="F606" s="24"/>
      <c r="G606" s="25"/>
      <c r="H606" s="26"/>
      <c r="I606" s="27"/>
      <c r="J606" s="80">
        <f>SUM(J597:K605)</f>
        <v>19.849999999999994</v>
      </c>
      <c r="K606" s="81"/>
    </row>
    <row r="607" spans="1:13" ht="15" customHeight="1" x14ac:dyDescent="0.25">
      <c r="A607" s="3"/>
      <c r="B607" s="3"/>
      <c r="C607" s="3"/>
      <c r="D607" s="3"/>
      <c r="E607" s="3"/>
      <c r="F607" s="3"/>
      <c r="G607" s="3"/>
      <c r="H607" s="3"/>
      <c r="I607" s="3"/>
      <c r="J607" s="3"/>
      <c r="K607" s="3"/>
    </row>
    <row r="608" spans="1:13" ht="15" customHeight="1" x14ac:dyDescent="0.25">
      <c r="A608" s="10" t="s">
        <v>295</v>
      </c>
      <c r="B608" s="10" t="s">
        <v>31</v>
      </c>
      <c r="C608" s="82" t="s">
        <v>7</v>
      </c>
      <c r="D608" s="83"/>
      <c r="E608" s="83"/>
      <c r="F608" s="83"/>
      <c r="G608" s="6" t="s">
        <v>32</v>
      </c>
      <c r="H608" s="6" t="s">
        <v>296</v>
      </c>
      <c r="I608" s="6" t="s">
        <v>297</v>
      </c>
      <c r="J608" s="57" t="s">
        <v>9</v>
      </c>
      <c r="K608" s="58"/>
    </row>
    <row r="609" spans="1:13" ht="30" customHeight="1" x14ac:dyDescent="0.25">
      <c r="A609" s="6" t="s">
        <v>502</v>
      </c>
      <c r="B609" s="28">
        <v>88239</v>
      </c>
      <c r="C609" s="91" t="str">
        <f>VLOOKUP(B609,S!$A:$D,2,FALSE)</f>
        <v>AJUDANTE DE CARPINTEIRO COM ENCARGOS COMPLEMENTARES</v>
      </c>
      <c r="D609" s="91"/>
      <c r="E609" s="91"/>
      <c r="F609" s="92"/>
      <c r="G609" s="6" t="str">
        <f>VLOOKUP(B609,S!$A:$D,3,FALSE)</f>
        <v>H</v>
      </c>
      <c r="H609" s="21"/>
      <c r="I609" s="21">
        <f>J618</f>
        <v>16.470000000000002</v>
      </c>
      <c r="J609" s="76"/>
      <c r="K609" s="72"/>
      <c r="L609" s="21">
        <f>VLOOKUP(B609,S!$A:$D,4,FALSE)</f>
        <v>16.47</v>
      </c>
      <c r="M609" s="6" t="str">
        <f>IF(ROUND((L609-I609),2)=0,"OK, confere com a tabela.",IF(ROUND((L609-I609),2)&lt;0,"ACIMA ("&amp;TEXT(ROUND(I609*100/L609,4),"0,0000")&amp;" %) da tabela.","ABAIXO ("&amp;TEXT(ROUND(I609*100/L609,4),"0,0000")&amp;" %) da tabela."))</f>
        <v>OK, confere com a tabela.</v>
      </c>
    </row>
    <row r="610" spans="1:13" ht="15" customHeight="1" x14ac:dyDescent="0.25">
      <c r="A610" s="16" t="s">
        <v>306</v>
      </c>
      <c r="B610" s="20">
        <v>6117</v>
      </c>
      <c r="C610" s="77" t="str">
        <f>VLOOKUP(B610,IF(A610="COMPOSICAO",S!$A:$D,I!$A:$D),2,FALSE)</f>
        <v>CARPINTEIRO AUXILIAR</v>
      </c>
      <c r="D610" s="77"/>
      <c r="E610" s="77"/>
      <c r="F610" s="77"/>
      <c r="G610" s="16" t="str">
        <f>VLOOKUP(B610,IF(A610="COMPOSICAO",S!$A:$D,I!$A:$D),3,FALSE)</f>
        <v>H</v>
      </c>
      <c r="H610" s="17">
        <v>1</v>
      </c>
      <c r="I610" s="17">
        <f>IF(A610="COMPOSICAO",VLOOKUP("TOTAL - "&amp;B610,COMPOSICAO_AUX_2!$A:$J,10,FALSE),VLOOKUP(B610,I!$A:$D,4,FALSE))</f>
        <v>11.75</v>
      </c>
      <c r="J610" s="80">
        <f t="shared" ref="J610:J617" si="26">TRUNC(H610*I610,2)</f>
        <v>11.75</v>
      </c>
      <c r="K610" s="81"/>
    </row>
    <row r="611" spans="1:13" ht="15" customHeight="1" x14ac:dyDescent="0.25">
      <c r="A611" s="16" t="s">
        <v>306</v>
      </c>
      <c r="B611" s="20">
        <v>37370</v>
      </c>
      <c r="C611" s="77" t="str">
        <f>VLOOKUP(B611,IF(A611="COMPOSICAO",S!$A:$D,I!$A:$D),2,FALSE)</f>
        <v>ALIMENTACAO - HORISTA (COLETADO CAIXA)</v>
      </c>
      <c r="D611" s="77"/>
      <c r="E611" s="77"/>
      <c r="F611" s="77"/>
      <c r="G611" s="16" t="str">
        <f>VLOOKUP(B611,IF(A611="COMPOSICAO",S!$A:$D,I!$A:$D),3,FALSE)</f>
        <v>H</v>
      </c>
      <c r="H611" s="17">
        <v>1</v>
      </c>
      <c r="I611" s="17">
        <f>IF(A611="COMPOSICAO",VLOOKUP("TOTAL - "&amp;B611,COMPOSICAO_AUX_2!$A:$J,10,FALSE),VLOOKUP(B611,I!$A:$D,4,FALSE))</f>
        <v>1.86</v>
      </c>
      <c r="J611" s="80">
        <f t="shared" si="26"/>
        <v>1.86</v>
      </c>
      <c r="K611" s="81"/>
    </row>
    <row r="612" spans="1:13" ht="15" customHeight="1" x14ac:dyDescent="0.25">
      <c r="A612" s="16" t="s">
        <v>306</v>
      </c>
      <c r="B612" s="20">
        <v>37371</v>
      </c>
      <c r="C612" s="77" t="str">
        <f>VLOOKUP(B612,IF(A612="COMPOSICAO",S!$A:$D,I!$A:$D),2,FALSE)</f>
        <v>TRANSPORTE - HORISTA (COLETADO CAIXA)</v>
      </c>
      <c r="D612" s="77"/>
      <c r="E612" s="77"/>
      <c r="F612" s="77"/>
      <c r="G612" s="16" t="str">
        <f>VLOOKUP(B612,IF(A612="COMPOSICAO",S!$A:$D,I!$A:$D),3,FALSE)</f>
        <v>H</v>
      </c>
      <c r="H612" s="17">
        <v>1</v>
      </c>
      <c r="I612" s="17">
        <f>IF(A612="COMPOSICAO",VLOOKUP("TOTAL - "&amp;B612,COMPOSICAO_AUX_2!$A:$J,10,FALSE),VLOOKUP(B612,I!$A:$D,4,FALSE))</f>
        <v>0.7</v>
      </c>
      <c r="J612" s="80">
        <f t="shared" si="26"/>
        <v>0.7</v>
      </c>
      <c r="K612" s="81"/>
    </row>
    <row r="613" spans="1:13" ht="15" customHeight="1" x14ac:dyDescent="0.25">
      <c r="A613" s="16" t="s">
        <v>306</v>
      </c>
      <c r="B613" s="20">
        <v>37372</v>
      </c>
      <c r="C613" s="77" t="str">
        <f>VLOOKUP(B613,IF(A613="COMPOSICAO",S!$A:$D,I!$A:$D),2,FALSE)</f>
        <v>EXAMES - HORISTA (COLETADO CAIXA)</v>
      </c>
      <c r="D613" s="77"/>
      <c r="E613" s="77"/>
      <c r="F613" s="77"/>
      <c r="G613" s="16" t="str">
        <f>VLOOKUP(B613,IF(A613="COMPOSICAO",S!$A:$D,I!$A:$D),3,FALSE)</f>
        <v>H</v>
      </c>
      <c r="H613" s="17">
        <v>1</v>
      </c>
      <c r="I613" s="17">
        <f>IF(A613="COMPOSICAO",VLOOKUP("TOTAL - "&amp;B613,COMPOSICAO_AUX_2!$A:$J,10,FALSE),VLOOKUP(B613,I!$A:$D,4,FALSE))</f>
        <v>0.55000000000000004</v>
      </c>
      <c r="J613" s="80">
        <f t="shared" si="26"/>
        <v>0.55000000000000004</v>
      </c>
      <c r="K613" s="81"/>
    </row>
    <row r="614" spans="1:13" ht="15" customHeight="1" x14ac:dyDescent="0.25">
      <c r="A614" s="16" t="s">
        <v>306</v>
      </c>
      <c r="B614" s="20">
        <v>37373</v>
      </c>
      <c r="C614" s="77" t="str">
        <f>VLOOKUP(B614,IF(A614="COMPOSICAO",S!$A:$D,I!$A:$D),2,FALSE)</f>
        <v>SEGURO - HORISTA (COLETADO CAIXA)</v>
      </c>
      <c r="D614" s="77"/>
      <c r="E614" s="77"/>
      <c r="F614" s="77"/>
      <c r="G614" s="16" t="str">
        <f>VLOOKUP(B614,IF(A614="COMPOSICAO",S!$A:$D,I!$A:$D),3,FALSE)</f>
        <v>H</v>
      </c>
      <c r="H614" s="17">
        <v>1</v>
      </c>
      <c r="I614" s="17">
        <f>IF(A614="COMPOSICAO",VLOOKUP("TOTAL - "&amp;B614,COMPOSICAO_AUX_2!$A:$J,10,FALSE),VLOOKUP(B614,I!$A:$D,4,FALSE))</f>
        <v>0.06</v>
      </c>
      <c r="J614" s="80">
        <f t="shared" si="26"/>
        <v>0.06</v>
      </c>
      <c r="K614" s="81"/>
    </row>
    <row r="615" spans="1:13" ht="45" customHeight="1" x14ac:dyDescent="0.25">
      <c r="A615" s="16" t="s">
        <v>306</v>
      </c>
      <c r="B615" s="20">
        <v>43459</v>
      </c>
      <c r="C615" s="77" t="str">
        <f>VLOOKUP(B615,IF(A615="COMPOSICAO",S!$A:$D,I!$A:$D),2,FALSE)</f>
        <v>FERRAMENTAS - FAMILIA CARPINTEIRO DE FORMAS - HORISTA (ENCARGOS COMPLEMENTARES - COLETADO CAIXA)</v>
      </c>
      <c r="D615" s="77"/>
      <c r="E615" s="77"/>
      <c r="F615" s="77"/>
      <c r="G615" s="16" t="str">
        <f>VLOOKUP(B615,IF(A615="COMPOSICAO",S!$A:$D,I!$A:$D),3,FALSE)</f>
        <v>H</v>
      </c>
      <c r="H615" s="17">
        <v>1</v>
      </c>
      <c r="I615" s="17">
        <f>IF(A615="COMPOSICAO",VLOOKUP("TOTAL - "&amp;B615,COMPOSICAO_AUX_2!$A:$J,10,FALSE),VLOOKUP(B615,I!$A:$D,4,FALSE))</f>
        <v>0.38</v>
      </c>
      <c r="J615" s="80">
        <f t="shared" si="26"/>
        <v>0.38</v>
      </c>
      <c r="K615" s="81"/>
    </row>
    <row r="616" spans="1:13" ht="30" customHeight="1" x14ac:dyDescent="0.25">
      <c r="A616" s="16" t="s">
        <v>306</v>
      </c>
      <c r="B616" s="20">
        <v>43483</v>
      </c>
      <c r="C616" s="77" t="str">
        <f>VLOOKUP(B616,IF(A616="COMPOSICAO",S!$A:$D,I!$A:$D),2,FALSE)</f>
        <v>EPI - FAMILIA CARPINTEIRO DE FORMAS - HORISTA (ENCARGOS COMPLEMENTARES - COLETADO CAIXA)</v>
      </c>
      <c r="D616" s="77"/>
      <c r="E616" s="77"/>
      <c r="F616" s="77"/>
      <c r="G616" s="16" t="str">
        <f>VLOOKUP(B616,IF(A616="COMPOSICAO",S!$A:$D,I!$A:$D),3,FALSE)</f>
        <v>H</v>
      </c>
      <c r="H616" s="17">
        <v>1</v>
      </c>
      <c r="I616" s="17">
        <f>IF(A616="COMPOSICAO",VLOOKUP("TOTAL - "&amp;B616,COMPOSICAO_AUX_2!$A:$J,10,FALSE),VLOOKUP(B616,I!$A:$D,4,FALSE))</f>
        <v>1.05</v>
      </c>
      <c r="J616" s="80">
        <f t="shared" si="26"/>
        <v>1.05</v>
      </c>
      <c r="K616" s="81"/>
    </row>
    <row r="617" spans="1:13" ht="30" customHeight="1" x14ac:dyDescent="0.25">
      <c r="A617" s="16" t="s">
        <v>302</v>
      </c>
      <c r="B617" s="20">
        <v>95309</v>
      </c>
      <c r="C617" s="77" t="str">
        <f>VLOOKUP(B617,IF(A617="COMPOSICAO",S!$A:$D,I!$A:$D),2,FALSE)</f>
        <v>CURSO DE CAPACITAÇÃO PARA AJUDANTE DE CARPINTEIRO (ENCARGOS COMPLEMENTARES) - HORISTA</v>
      </c>
      <c r="D617" s="77"/>
      <c r="E617" s="77"/>
      <c r="F617" s="77"/>
      <c r="G617" s="16" t="str">
        <f>VLOOKUP(B617,IF(A617="COMPOSICAO",S!$A:$D,I!$A:$D),3,FALSE)</f>
        <v>H</v>
      </c>
      <c r="H617" s="17">
        <v>1</v>
      </c>
      <c r="I617" s="17">
        <f>IF(A617="COMPOSICAO",VLOOKUP("TOTAL - "&amp;B617,COMPOSICAO_AUX_2!$A:$J,10,FALSE),VLOOKUP(B617,I!$A:$D,4,FALSE))</f>
        <v>0.12</v>
      </c>
      <c r="J617" s="80">
        <f t="shared" si="26"/>
        <v>0.12</v>
      </c>
      <c r="K617" s="81"/>
    </row>
    <row r="618" spans="1:13" ht="15" customHeight="1" x14ac:dyDescent="0.25">
      <c r="A618" s="23" t="s">
        <v>604</v>
      </c>
      <c r="B618" s="24"/>
      <c r="C618" s="24"/>
      <c r="D618" s="24"/>
      <c r="E618" s="24"/>
      <c r="F618" s="24"/>
      <c r="G618" s="25"/>
      <c r="H618" s="26"/>
      <c r="I618" s="27"/>
      <c r="J618" s="80">
        <f>SUM(J609:K617)</f>
        <v>16.470000000000002</v>
      </c>
      <c r="K618" s="81"/>
    </row>
    <row r="619" spans="1:13" ht="15" customHeight="1" x14ac:dyDescent="0.25">
      <c r="A619" s="3"/>
      <c r="B619" s="3"/>
      <c r="C619" s="3"/>
      <c r="D619" s="3"/>
      <c r="E619" s="3"/>
      <c r="F619" s="3"/>
      <c r="G619" s="3"/>
      <c r="H619" s="3"/>
      <c r="I619" s="3"/>
      <c r="J619" s="3"/>
      <c r="K619" s="3"/>
    </row>
    <row r="620" spans="1:13" ht="15" customHeight="1" x14ac:dyDescent="0.25">
      <c r="A620" s="10" t="s">
        <v>295</v>
      </c>
      <c r="B620" s="10" t="s">
        <v>31</v>
      </c>
      <c r="C620" s="82" t="s">
        <v>7</v>
      </c>
      <c r="D620" s="83"/>
      <c r="E620" s="83"/>
      <c r="F620" s="83"/>
      <c r="G620" s="6" t="s">
        <v>32</v>
      </c>
      <c r="H620" s="6" t="s">
        <v>296</v>
      </c>
      <c r="I620" s="6" t="s">
        <v>297</v>
      </c>
      <c r="J620" s="57" t="s">
        <v>9</v>
      </c>
      <c r="K620" s="58"/>
    </row>
    <row r="621" spans="1:13" ht="60" customHeight="1" x14ac:dyDescent="0.25">
      <c r="A621" s="6" t="s">
        <v>367</v>
      </c>
      <c r="B621" s="28">
        <v>92261</v>
      </c>
      <c r="C621" s="91" t="str">
        <f>VLOOKUP(B621,S!$A:$D,2,FALSE)</f>
        <v>INSTALAÇÃO DE TESOURA (INTEIRA OU MEIA), BIAPOIADA, EM MADEIRA NÃO APARELHADA, PARA VÃOS MAIORES OU IGUAIS A 8,0 M E MENORES QUE 10,0 M, INCLUSO IÇAMENTO. AF_07/2019</v>
      </c>
      <c r="D621" s="91"/>
      <c r="E621" s="91"/>
      <c r="F621" s="92"/>
      <c r="G621" s="6" t="str">
        <f>VLOOKUP(B621,S!$A:$D,3,FALSE)</f>
        <v>UN</v>
      </c>
      <c r="H621" s="21"/>
      <c r="I621" s="21">
        <f>J629</f>
        <v>451.58</v>
      </c>
      <c r="J621" s="76"/>
      <c r="K621" s="72"/>
      <c r="L621" s="21">
        <f>VLOOKUP(B621,S!$A:$D,4,FALSE)</f>
        <v>451.58</v>
      </c>
      <c r="M621" s="6" t="str">
        <f>IF(ROUND((L621-I621),2)=0,"OK, confere com a tabela.",IF(ROUND((L621-I621),2)&lt;0,"ACIMA ("&amp;TEXT(ROUND(I621*100/L621,4),"0,0000")&amp;" %) da tabela.","ABAIXO ("&amp;TEXT(ROUND(I621*100/L621,4),"0,0000")&amp;" %) da tabela."))</f>
        <v>OK, confere com a tabela.</v>
      </c>
    </row>
    <row r="622" spans="1:13" ht="30" customHeight="1" x14ac:dyDescent="0.25">
      <c r="A622" s="16" t="s">
        <v>306</v>
      </c>
      <c r="B622" s="20">
        <v>4425</v>
      </c>
      <c r="C622" s="77" t="str">
        <f>VLOOKUP(B622,IF(A622="COMPOSICAO",S!$A:$D,I!$A:$D),2,FALSE)</f>
        <v>VIGA NAO APARELHADA  *6 X 12* CM, EM MACARANDUBA, ANGELIM OU EQUIVALENTE DA REGIAO - BRUTA</v>
      </c>
      <c r="D622" s="77"/>
      <c r="E622" s="77"/>
      <c r="F622" s="77"/>
      <c r="G622" s="16" t="str">
        <f>VLOOKUP(B622,IF(A622="COMPOSICAO",S!$A:$D,I!$A:$D),3,FALSE)</f>
        <v>M</v>
      </c>
      <c r="H622" s="17">
        <v>9</v>
      </c>
      <c r="I622" s="17">
        <f>IF(A622="COMPOSICAO",VLOOKUP("TOTAL - "&amp;B622,COMPOSICAO_AUX_2!$A:$J,10,FALSE),VLOOKUP(B622,I!$A:$D,4,FALSE))</f>
        <v>20.09</v>
      </c>
      <c r="J622" s="80">
        <f t="shared" ref="J622:J628" si="27">TRUNC(H622*I622,2)</f>
        <v>180.81</v>
      </c>
      <c r="K622" s="81"/>
    </row>
    <row r="623" spans="1:13" ht="30" customHeight="1" x14ac:dyDescent="0.25">
      <c r="A623" s="16" t="s">
        <v>306</v>
      </c>
      <c r="B623" s="20">
        <v>5075</v>
      </c>
      <c r="C623" s="77" t="str">
        <f>VLOOKUP(B623,IF(A623="COMPOSICAO",S!$A:$D,I!$A:$D),2,FALSE)</f>
        <v>PREGO DE ACO POLIDO COM CABECA 18 X 30 (2 3/4 X 10)</v>
      </c>
      <c r="D623" s="77"/>
      <c r="E623" s="77"/>
      <c r="F623" s="77"/>
      <c r="G623" s="16" t="str">
        <f>VLOOKUP(B623,IF(A623="COMPOSICAO",S!$A:$D,I!$A:$D),3,FALSE)</f>
        <v>KG</v>
      </c>
      <c r="H623" s="30">
        <v>1.125</v>
      </c>
      <c r="I623" s="17">
        <f>IF(A623="COMPOSICAO",VLOOKUP("TOTAL - "&amp;B623,COMPOSICAO_AUX_2!$A:$J,10,FALSE),VLOOKUP(B623,I!$A:$D,4,FALSE))</f>
        <v>19.329999999999998</v>
      </c>
      <c r="J623" s="80">
        <f t="shared" si="27"/>
        <v>21.74</v>
      </c>
      <c r="K623" s="81"/>
    </row>
    <row r="624" spans="1:13" ht="30" customHeight="1" x14ac:dyDescent="0.25">
      <c r="A624" s="16" t="s">
        <v>306</v>
      </c>
      <c r="B624" s="20">
        <v>40552</v>
      </c>
      <c r="C624" s="77" t="str">
        <f>VLOOKUP(B624,IF(A624="COMPOSICAO",S!$A:$D,I!$A:$D),2,FALSE)</f>
        <v>PARAFUSO, AUTO ATARRACHANTE, CABECA CHATA, FENDA SIMPLES, 1/4 (6,35 MM) X 25 MM</v>
      </c>
      <c r="D624" s="77"/>
      <c r="E624" s="77"/>
      <c r="F624" s="77"/>
      <c r="G624" s="16" t="str">
        <f>VLOOKUP(B624,IF(A624="COMPOSICAO",S!$A:$D,I!$A:$D),3,FALSE)</f>
        <v>CENTO</v>
      </c>
      <c r="H624" s="17">
        <v>0.04</v>
      </c>
      <c r="I624" s="17">
        <f>IF(A624="COMPOSICAO",VLOOKUP("TOTAL - "&amp;B624,COMPOSICAO_AUX_2!$A:$J,10,FALSE),VLOOKUP(B624,I!$A:$D,4,FALSE))</f>
        <v>28.13</v>
      </c>
      <c r="J624" s="80">
        <f t="shared" si="27"/>
        <v>1.1200000000000001</v>
      </c>
      <c r="K624" s="81"/>
    </row>
    <row r="625" spans="1:13" ht="30" customHeight="1" x14ac:dyDescent="0.25">
      <c r="A625" s="16" t="s">
        <v>302</v>
      </c>
      <c r="B625" s="20">
        <v>88239</v>
      </c>
      <c r="C625" s="77" t="str">
        <f>VLOOKUP(B625,IF(A625="COMPOSICAO",S!$A:$D,I!$A:$D),2,FALSE)</f>
        <v>AJUDANTE DE CARPINTEIRO COM ENCARGOS COMPLEMENTARES</v>
      </c>
      <c r="D625" s="77"/>
      <c r="E625" s="77"/>
      <c r="F625" s="77"/>
      <c r="G625" s="16" t="str">
        <f>VLOOKUP(B625,IF(A625="COMPOSICAO",S!$A:$D,I!$A:$D),3,FALSE)</f>
        <v>H</v>
      </c>
      <c r="H625" s="30">
        <v>2.4910000000000001</v>
      </c>
      <c r="I625" s="17">
        <f>IF(A625="COMPOSICAO",VLOOKUP("TOTAL - "&amp;B625,COMPOSICAO_AUX_2!$A:$J,10,FALSE),VLOOKUP(B625,I!$A:$D,4,FALSE))</f>
        <v>16.470000000000002</v>
      </c>
      <c r="J625" s="80">
        <f t="shared" si="27"/>
        <v>41.02</v>
      </c>
      <c r="K625" s="81"/>
    </row>
    <row r="626" spans="1:13" ht="30" customHeight="1" x14ac:dyDescent="0.25">
      <c r="A626" s="16" t="s">
        <v>302</v>
      </c>
      <c r="B626" s="20">
        <v>88262</v>
      </c>
      <c r="C626" s="77" t="str">
        <f>VLOOKUP(B626,IF(A626="COMPOSICAO",S!$A:$D,I!$A:$D),2,FALSE)</f>
        <v>CARPINTEIRO DE FORMAS COM ENCARGOS COMPLEMENTARES</v>
      </c>
      <c r="D626" s="77"/>
      <c r="E626" s="77"/>
      <c r="F626" s="77"/>
      <c r="G626" s="16" t="str">
        <f>VLOOKUP(B626,IF(A626="COMPOSICAO",S!$A:$D,I!$A:$D),3,FALSE)</f>
        <v>H</v>
      </c>
      <c r="H626" s="30">
        <v>7.2809999999999997</v>
      </c>
      <c r="I626" s="17">
        <f>IF(A626="COMPOSICAO",VLOOKUP("TOTAL - "&amp;B626,COMPOSICAO_AUX_2!$A:$J,10,FALSE),VLOOKUP(B626,I!$A:$D,4,FALSE))</f>
        <v>19.649999999999999</v>
      </c>
      <c r="J626" s="80">
        <f t="shared" si="27"/>
        <v>143.07</v>
      </c>
      <c r="K626" s="81"/>
    </row>
    <row r="627" spans="1:13" ht="45" customHeight="1" x14ac:dyDescent="0.25">
      <c r="A627" s="16" t="s">
        <v>302</v>
      </c>
      <c r="B627" s="20">
        <v>93287</v>
      </c>
      <c r="C627" s="77" t="str">
        <f>VLOOKUP(B627,IF(A627="COMPOSICAO",S!$A:$D,I!$A:$D),2,FALSE)</f>
        <v>GUINDASTE HIDRÁULICO AUTOPROPELIDO, COM LANÇA TELESCÓPICA 40 M, CAPACIDADE MÁXIMA 60 T, POTÊNCIA 260 KW - CHP DIURNO. AF_03/2016</v>
      </c>
      <c r="D627" s="77"/>
      <c r="E627" s="77"/>
      <c r="F627" s="77"/>
      <c r="G627" s="16" t="str">
        <f>VLOOKUP(B627,IF(A627="COMPOSICAO",S!$A:$D,I!$A:$D),3,FALSE)</f>
        <v>CHP</v>
      </c>
      <c r="H627" s="29">
        <v>0.1133</v>
      </c>
      <c r="I627" s="17">
        <f>IF(A627="COMPOSICAO",VLOOKUP("TOTAL - "&amp;B627,COMPOSICAO_AUX_2!$A:$J,10,FALSE),VLOOKUP(B627,I!$A:$D,4,FALSE))</f>
        <v>402.30999999999995</v>
      </c>
      <c r="J627" s="80">
        <f t="shared" si="27"/>
        <v>45.58</v>
      </c>
      <c r="K627" s="81"/>
    </row>
    <row r="628" spans="1:13" ht="45" customHeight="1" x14ac:dyDescent="0.25">
      <c r="A628" s="16" t="s">
        <v>302</v>
      </c>
      <c r="B628" s="20">
        <v>93288</v>
      </c>
      <c r="C628" s="77" t="str">
        <f>VLOOKUP(B628,IF(A628="COMPOSICAO",S!$A:$D,I!$A:$D),2,FALSE)</f>
        <v>GUINDASTE HIDRÁULICO AUTOPROPELIDO, COM LANÇA TELESCÓPICA 40 M, CAPACIDADE MÁXIMA 60 T, POTÊNCIA 260 KW - CHI DIURNO. AF_03/2016</v>
      </c>
      <c r="D628" s="77"/>
      <c r="E628" s="77"/>
      <c r="F628" s="77"/>
      <c r="G628" s="16" t="str">
        <f>VLOOKUP(B628,IF(A628="COMPOSICAO",S!$A:$D,I!$A:$D),3,FALSE)</f>
        <v>CHI</v>
      </c>
      <c r="H628" s="30">
        <v>0.157</v>
      </c>
      <c r="I628" s="17">
        <f>IF(A628="COMPOSICAO",VLOOKUP("TOTAL - "&amp;B628,COMPOSICAO_AUX_2!$A:$J,10,FALSE),VLOOKUP(B628,I!$A:$D,4,FALSE))</f>
        <v>116.24</v>
      </c>
      <c r="J628" s="80">
        <f t="shared" si="27"/>
        <v>18.239999999999998</v>
      </c>
      <c r="K628" s="81"/>
    </row>
    <row r="629" spans="1:13" ht="15" customHeight="1" x14ac:dyDescent="0.25">
      <c r="A629" s="23" t="s">
        <v>605</v>
      </c>
      <c r="B629" s="24"/>
      <c r="C629" s="24"/>
      <c r="D629" s="24"/>
      <c r="E629" s="24"/>
      <c r="F629" s="24"/>
      <c r="G629" s="25"/>
      <c r="H629" s="26"/>
      <c r="I629" s="27"/>
      <c r="J629" s="80">
        <f>SUM(J621:K628)</f>
        <v>451.58</v>
      </c>
      <c r="K629" s="81"/>
    </row>
    <row r="630" spans="1:13" ht="15" customHeight="1" x14ac:dyDescent="0.25">
      <c r="A630" s="3"/>
      <c r="B630" s="3"/>
      <c r="C630" s="3"/>
      <c r="D630" s="3"/>
      <c r="E630" s="3"/>
      <c r="F630" s="3"/>
      <c r="G630" s="3"/>
      <c r="H630" s="3"/>
      <c r="I630" s="3"/>
      <c r="J630" s="3"/>
      <c r="K630" s="3"/>
    </row>
    <row r="631" spans="1:13" ht="15" customHeight="1" x14ac:dyDescent="0.25">
      <c r="A631" s="10" t="s">
        <v>295</v>
      </c>
      <c r="B631" s="10" t="s">
        <v>31</v>
      </c>
      <c r="C631" s="82" t="s">
        <v>7</v>
      </c>
      <c r="D631" s="83"/>
      <c r="E631" s="83"/>
      <c r="F631" s="83"/>
      <c r="G631" s="6" t="s">
        <v>32</v>
      </c>
      <c r="H631" s="6" t="s">
        <v>296</v>
      </c>
      <c r="I631" s="6" t="s">
        <v>297</v>
      </c>
      <c r="J631" s="57" t="s">
        <v>9</v>
      </c>
      <c r="K631" s="58"/>
    </row>
    <row r="632" spans="1:13" ht="45" customHeight="1" x14ac:dyDescent="0.25">
      <c r="A632" s="6" t="s">
        <v>572</v>
      </c>
      <c r="B632" s="28">
        <v>93281</v>
      </c>
      <c r="C632" s="91" t="str">
        <f>VLOOKUP(B632,S!$A:$D,2,FALSE)</f>
        <v>GUINCHO ELÉTRICO DE COLUNA, CAPACIDADE 400 KG, COM MOTO FREIO, MOTOR TRIFÁSICO DE 1,25 CV - CHP DIURNO. AF_03/2016</v>
      </c>
      <c r="D632" s="91"/>
      <c r="E632" s="91"/>
      <c r="F632" s="92"/>
      <c r="G632" s="6" t="str">
        <f>VLOOKUP(B632,S!$A:$D,3,FALSE)</f>
        <v>CHP</v>
      </c>
      <c r="H632" s="21"/>
      <c r="I632" s="21">
        <f>J638</f>
        <v>24.28</v>
      </c>
      <c r="J632" s="76"/>
      <c r="K632" s="72"/>
      <c r="L632" s="21">
        <f>VLOOKUP(B632,S!$A:$D,4,FALSE)</f>
        <v>24.28</v>
      </c>
      <c r="M632" s="6" t="str">
        <f>IF(ROUND((L632-I632),2)=0,"OK, confere com a tabela.",IF(ROUND((L632-I632),2)&lt;0,"ACIMA ("&amp;TEXT(ROUND(I632*100/L632,4),"0,0000")&amp;" %) da tabela.","ABAIXO ("&amp;TEXT(ROUND(I632*100/L632,4),"0,0000")&amp;" %) da tabela."))</f>
        <v>OK, confere com a tabela.</v>
      </c>
    </row>
    <row r="633" spans="1:13" ht="30" customHeight="1" x14ac:dyDescent="0.25">
      <c r="A633" s="16" t="s">
        <v>302</v>
      </c>
      <c r="B633" s="20">
        <v>88295</v>
      </c>
      <c r="C633" s="77" t="str">
        <f>VLOOKUP(B633,IF(A633="COMPOSICAO",S!$A:$D,I!$A:$D),2,FALSE)</f>
        <v>OPERADOR DE GUINCHO COM ENCARGOS COMPLEMENTARES</v>
      </c>
      <c r="D633" s="77"/>
      <c r="E633" s="77"/>
      <c r="F633" s="77"/>
      <c r="G633" s="16" t="str">
        <f>VLOOKUP(B633,IF(A633="COMPOSICAO",S!$A:$D,I!$A:$D),3,FALSE)</f>
        <v>H</v>
      </c>
      <c r="H633" s="17">
        <v>1</v>
      </c>
      <c r="I633" s="17">
        <f>IF(A633="COMPOSICAO",VLOOKUP("TOTAL - "&amp;B633,COMPOSICAO_AUX_2!$A:$J,10,FALSE),VLOOKUP(B633,I!$A:$D,4,FALSE))</f>
        <v>23.08</v>
      </c>
      <c r="J633" s="80">
        <f>TRUNC(H633*I633,2)</f>
        <v>23.08</v>
      </c>
      <c r="K633" s="81"/>
    </row>
    <row r="634" spans="1:13" ht="45" customHeight="1" x14ac:dyDescent="0.25">
      <c r="A634" s="16" t="s">
        <v>302</v>
      </c>
      <c r="B634" s="20">
        <v>93277</v>
      </c>
      <c r="C634" s="77" t="str">
        <f>VLOOKUP(B634,IF(A634="COMPOSICAO",S!$A:$D,I!$A:$D),2,FALSE)</f>
        <v>GUINCHO ELÉTRICO DE COLUNA, CAPACIDADE 400 KG, COM MOTO FREIO, MOTOR TRIFÁSICO DE 1,25 CV - DEPRECIAÇÃO. AF_03/2016</v>
      </c>
      <c r="D634" s="77"/>
      <c r="E634" s="77"/>
      <c r="F634" s="77"/>
      <c r="G634" s="16" t="str">
        <f>VLOOKUP(B634,IF(A634="COMPOSICAO",S!$A:$D,I!$A:$D),3,FALSE)</f>
        <v>H</v>
      </c>
      <c r="H634" s="17">
        <v>1</v>
      </c>
      <c r="I634" s="17">
        <f>IF(A634="COMPOSICAO",VLOOKUP("TOTAL - "&amp;B634,COMPOSICAO_AUX_2!$A:$J,10,FALSE),VLOOKUP(B634,I!$A:$D,4,FALSE))</f>
        <v>0.3</v>
      </c>
      <c r="J634" s="80">
        <f>TRUNC(H634*I634,2)</f>
        <v>0.3</v>
      </c>
      <c r="K634" s="81"/>
    </row>
    <row r="635" spans="1:13" ht="45" customHeight="1" x14ac:dyDescent="0.25">
      <c r="A635" s="16" t="s">
        <v>302</v>
      </c>
      <c r="B635" s="20">
        <v>93278</v>
      </c>
      <c r="C635" s="77" t="str">
        <f>VLOOKUP(B635,IF(A635="COMPOSICAO",S!$A:$D,I!$A:$D),2,FALSE)</f>
        <v>GUINCHO ELÉTRICO DE COLUNA, CAPACIDADE 400 KG, COM MOTO FREIO, MOTOR TRIFÁSICO DE 1,25 CV - JUROS. AF_03/2016</v>
      </c>
      <c r="D635" s="77"/>
      <c r="E635" s="77"/>
      <c r="F635" s="77"/>
      <c r="G635" s="16" t="str">
        <f>VLOOKUP(B635,IF(A635="COMPOSICAO",S!$A:$D,I!$A:$D),3,FALSE)</f>
        <v>H</v>
      </c>
      <c r="H635" s="17">
        <v>1</v>
      </c>
      <c r="I635" s="17">
        <f>IF(A635="COMPOSICAO",VLOOKUP("TOTAL - "&amp;B635,COMPOSICAO_AUX_2!$A:$J,10,FALSE),VLOOKUP(B635,I!$A:$D,4,FALSE))</f>
        <v>0.03</v>
      </c>
      <c r="J635" s="80">
        <f>TRUNC(H635*I635,2)</f>
        <v>0.03</v>
      </c>
      <c r="K635" s="81"/>
    </row>
    <row r="636" spans="1:13" ht="45" customHeight="1" x14ac:dyDescent="0.25">
      <c r="A636" s="16" t="s">
        <v>302</v>
      </c>
      <c r="B636" s="20">
        <v>93279</v>
      </c>
      <c r="C636" s="77" t="str">
        <f>VLOOKUP(B636,IF(A636="COMPOSICAO",S!$A:$D,I!$A:$D),2,FALSE)</f>
        <v>GUINCHO ELÉTRICO DE COLUNA, CAPACIDADE 400 KG, COM MOTO FREIO, MOTOR TRIFÁSICO DE 1,25 CV - MANUTENÇÃO. AF_03/2016</v>
      </c>
      <c r="D636" s="77"/>
      <c r="E636" s="77"/>
      <c r="F636" s="77"/>
      <c r="G636" s="16" t="str">
        <f>VLOOKUP(B636,IF(A636="COMPOSICAO",S!$A:$D,I!$A:$D),3,FALSE)</f>
        <v>H</v>
      </c>
      <c r="H636" s="17">
        <v>1</v>
      </c>
      <c r="I636" s="17">
        <f>IF(A636="COMPOSICAO",VLOOKUP("TOTAL - "&amp;B636,COMPOSICAO_AUX_2!$A:$J,10,FALSE),VLOOKUP(B636,I!$A:$D,4,FALSE))</f>
        <v>0.28000000000000003</v>
      </c>
      <c r="J636" s="80">
        <f>TRUNC(H636*I636,2)</f>
        <v>0.28000000000000003</v>
      </c>
      <c r="K636" s="81"/>
    </row>
    <row r="637" spans="1:13" ht="45" customHeight="1" x14ac:dyDescent="0.25">
      <c r="A637" s="16" t="s">
        <v>302</v>
      </c>
      <c r="B637" s="20">
        <v>93280</v>
      </c>
      <c r="C637" s="77" t="str">
        <f>VLOOKUP(B637,IF(A637="COMPOSICAO",S!$A:$D,I!$A:$D),2,FALSE)</f>
        <v>GUINCHO ELÉTRICO DE COLUNA, CAPACIDADE 400 KG, COM MOTO FREIO, MOTOR TRIFÁSICO DE 1,25 CV - MATERIAIS NA OPERAÇÃO. AF_03/2016</v>
      </c>
      <c r="D637" s="77"/>
      <c r="E637" s="77"/>
      <c r="F637" s="77"/>
      <c r="G637" s="16" t="str">
        <f>VLOOKUP(B637,IF(A637="COMPOSICAO",S!$A:$D,I!$A:$D),3,FALSE)</f>
        <v>H</v>
      </c>
      <c r="H637" s="17">
        <v>1</v>
      </c>
      <c r="I637" s="17">
        <f>IF(A637="COMPOSICAO",VLOOKUP("TOTAL - "&amp;B637,COMPOSICAO_AUX_2!$A:$J,10,FALSE),VLOOKUP(B637,I!$A:$D,4,FALSE))</f>
        <v>0.59</v>
      </c>
      <c r="J637" s="80">
        <f>TRUNC(H637*I637,2)</f>
        <v>0.59</v>
      </c>
      <c r="K637" s="81"/>
    </row>
    <row r="638" spans="1:13" ht="15" customHeight="1" x14ac:dyDescent="0.25">
      <c r="A638" s="23" t="s">
        <v>606</v>
      </c>
      <c r="B638" s="24"/>
      <c r="C638" s="24"/>
      <c r="D638" s="24"/>
      <c r="E638" s="24"/>
      <c r="F638" s="24"/>
      <c r="G638" s="25"/>
      <c r="H638" s="26"/>
      <c r="I638" s="27"/>
      <c r="J638" s="80">
        <f>SUM(J632:K637)</f>
        <v>24.28</v>
      </c>
      <c r="K638" s="81"/>
    </row>
    <row r="639" spans="1:13" ht="15" customHeight="1" x14ac:dyDescent="0.25">
      <c r="A639" s="3"/>
      <c r="B639" s="3"/>
      <c r="C639" s="3"/>
      <c r="D639" s="3"/>
      <c r="E639" s="3"/>
      <c r="F639" s="3"/>
      <c r="G639" s="3"/>
      <c r="H639" s="3"/>
      <c r="I639" s="3"/>
      <c r="J639" s="3"/>
      <c r="K639" s="3"/>
    </row>
    <row r="640" spans="1:13" ht="15" customHeight="1" x14ac:dyDescent="0.25">
      <c r="A640" s="10" t="s">
        <v>295</v>
      </c>
      <c r="B640" s="10" t="s">
        <v>31</v>
      </c>
      <c r="C640" s="82" t="s">
        <v>7</v>
      </c>
      <c r="D640" s="83"/>
      <c r="E640" s="83"/>
      <c r="F640" s="83"/>
      <c r="G640" s="6" t="s">
        <v>32</v>
      </c>
      <c r="H640" s="6" t="s">
        <v>296</v>
      </c>
      <c r="I640" s="6" t="s">
        <v>297</v>
      </c>
      <c r="J640" s="57" t="s">
        <v>9</v>
      </c>
      <c r="K640" s="58"/>
    </row>
    <row r="641" spans="1:13" ht="45" customHeight="1" x14ac:dyDescent="0.25">
      <c r="A641" s="6" t="s">
        <v>572</v>
      </c>
      <c r="B641" s="28">
        <v>93282</v>
      </c>
      <c r="C641" s="91" t="str">
        <f>VLOOKUP(B641,S!$A:$D,2,FALSE)</f>
        <v>GUINCHO ELÉTRICO DE COLUNA, CAPACIDADE 400 KG, COM MOTO FREIO, MOTOR TRIFÁSICO DE 1,25 CV - CHI DIURNO. AF_03/2016</v>
      </c>
      <c r="D641" s="91"/>
      <c r="E641" s="91"/>
      <c r="F641" s="92"/>
      <c r="G641" s="6" t="str">
        <f>VLOOKUP(B641,S!$A:$D,3,FALSE)</f>
        <v>CHI</v>
      </c>
      <c r="H641" s="21"/>
      <c r="I641" s="21">
        <f>J645</f>
        <v>23.41</v>
      </c>
      <c r="J641" s="76"/>
      <c r="K641" s="72"/>
      <c r="L641" s="21">
        <f>VLOOKUP(B641,S!$A:$D,4,FALSE)</f>
        <v>23.41</v>
      </c>
      <c r="M641" s="6" t="str">
        <f>IF(ROUND((L641-I641),2)=0,"OK, confere com a tabela.",IF(ROUND((L641-I641),2)&lt;0,"ACIMA ("&amp;TEXT(ROUND(I641*100/L641,4),"0,0000")&amp;" %) da tabela.","ABAIXO ("&amp;TEXT(ROUND(I641*100/L641,4),"0,0000")&amp;" %) da tabela."))</f>
        <v>OK, confere com a tabela.</v>
      </c>
    </row>
    <row r="642" spans="1:13" ht="30" customHeight="1" x14ac:dyDescent="0.25">
      <c r="A642" s="16" t="s">
        <v>302</v>
      </c>
      <c r="B642" s="20">
        <v>88295</v>
      </c>
      <c r="C642" s="77" t="str">
        <f>VLOOKUP(B642,IF(A642="COMPOSICAO",S!$A:$D,I!$A:$D),2,FALSE)</f>
        <v>OPERADOR DE GUINCHO COM ENCARGOS COMPLEMENTARES</v>
      </c>
      <c r="D642" s="77"/>
      <c r="E642" s="77"/>
      <c r="F642" s="77"/>
      <c r="G642" s="16" t="str">
        <f>VLOOKUP(B642,IF(A642="COMPOSICAO",S!$A:$D,I!$A:$D),3,FALSE)</f>
        <v>H</v>
      </c>
      <c r="H642" s="17">
        <v>1</v>
      </c>
      <c r="I642" s="17">
        <f>IF(A642="COMPOSICAO",VLOOKUP("TOTAL - "&amp;B642,COMPOSICAO_AUX_2!$A:$J,10,FALSE),VLOOKUP(B642,I!$A:$D,4,FALSE))</f>
        <v>23.08</v>
      </c>
      <c r="J642" s="80">
        <f>TRUNC(H642*I642,2)</f>
        <v>23.08</v>
      </c>
      <c r="K642" s="81"/>
    </row>
    <row r="643" spans="1:13" ht="45" customHeight="1" x14ac:dyDescent="0.25">
      <c r="A643" s="16" t="s">
        <v>302</v>
      </c>
      <c r="B643" s="20">
        <v>93277</v>
      </c>
      <c r="C643" s="77" t="str">
        <f>VLOOKUP(B643,IF(A643="COMPOSICAO",S!$A:$D,I!$A:$D),2,FALSE)</f>
        <v>GUINCHO ELÉTRICO DE COLUNA, CAPACIDADE 400 KG, COM MOTO FREIO, MOTOR TRIFÁSICO DE 1,25 CV - DEPRECIAÇÃO. AF_03/2016</v>
      </c>
      <c r="D643" s="77"/>
      <c r="E643" s="77"/>
      <c r="F643" s="77"/>
      <c r="G643" s="16" t="str">
        <f>VLOOKUP(B643,IF(A643="COMPOSICAO",S!$A:$D,I!$A:$D),3,FALSE)</f>
        <v>H</v>
      </c>
      <c r="H643" s="17">
        <v>1</v>
      </c>
      <c r="I643" s="17">
        <f>IF(A643="COMPOSICAO",VLOOKUP("TOTAL - "&amp;B643,COMPOSICAO_AUX_2!$A:$J,10,FALSE),VLOOKUP(B643,I!$A:$D,4,FALSE))</f>
        <v>0.3</v>
      </c>
      <c r="J643" s="80">
        <f>TRUNC(H643*I643,2)</f>
        <v>0.3</v>
      </c>
      <c r="K643" s="81"/>
    </row>
    <row r="644" spans="1:13" ht="45" customHeight="1" x14ac:dyDescent="0.25">
      <c r="A644" s="16" t="s">
        <v>302</v>
      </c>
      <c r="B644" s="20">
        <v>93278</v>
      </c>
      <c r="C644" s="77" t="str">
        <f>VLOOKUP(B644,IF(A644="COMPOSICAO",S!$A:$D,I!$A:$D),2,FALSE)</f>
        <v>GUINCHO ELÉTRICO DE COLUNA, CAPACIDADE 400 KG, COM MOTO FREIO, MOTOR TRIFÁSICO DE 1,25 CV - JUROS. AF_03/2016</v>
      </c>
      <c r="D644" s="77"/>
      <c r="E644" s="77"/>
      <c r="F644" s="77"/>
      <c r="G644" s="16" t="str">
        <f>VLOOKUP(B644,IF(A644="COMPOSICAO",S!$A:$D,I!$A:$D),3,FALSE)</f>
        <v>H</v>
      </c>
      <c r="H644" s="17">
        <v>1</v>
      </c>
      <c r="I644" s="17">
        <f>IF(A644="COMPOSICAO",VLOOKUP("TOTAL - "&amp;B644,COMPOSICAO_AUX_2!$A:$J,10,FALSE),VLOOKUP(B644,I!$A:$D,4,FALSE))</f>
        <v>0.03</v>
      </c>
      <c r="J644" s="80">
        <f>TRUNC(H644*I644,2)</f>
        <v>0.03</v>
      </c>
      <c r="K644" s="81"/>
    </row>
    <row r="645" spans="1:13" ht="15" customHeight="1" x14ac:dyDescent="0.25">
      <c r="A645" s="23" t="s">
        <v>607</v>
      </c>
      <c r="B645" s="24"/>
      <c r="C645" s="24"/>
      <c r="D645" s="24"/>
      <c r="E645" s="24"/>
      <c r="F645" s="24"/>
      <c r="G645" s="25"/>
      <c r="H645" s="26"/>
      <c r="I645" s="27"/>
      <c r="J645" s="80">
        <f>SUM(J641:K644)</f>
        <v>23.41</v>
      </c>
      <c r="K645" s="81"/>
    </row>
    <row r="646" spans="1:13" ht="15" customHeight="1" x14ac:dyDescent="0.25">
      <c r="A646" s="3"/>
      <c r="B646" s="3"/>
      <c r="C646" s="3"/>
      <c r="D646" s="3"/>
      <c r="E646" s="3"/>
      <c r="F646" s="3"/>
      <c r="G646" s="3"/>
      <c r="H646" s="3"/>
      <c r="I646" s="3"/>
      <c r="J646" s="3"/>
      <c r="K646" s="3"/>
    </row>
    <row r="647" spans="1:13" ht="15" customHeight="1" x14ac:dyDescent="0.25">
      <c r="A647" s="10" t="s">
        <v>295</v>
      </c>
      <c r="B647" s="10" t="s">
        <v>31</v>
      </c>
      <c r="C647" s="82" t="s">
        <v>7</v>
      </c>
      <c r="D647" s="83"/>
      <c r="E647" s="83"/>
      <c r="F647" s="83"/>
      <c r="G647" s="6" t="s">
        <v>32</v>
      </c>
      <c r="H647" s="6" t="s">
        <v>296</v>
      </c>
      <c r="I647" s="6" t="s">
        <v>297</v>
      </c>
      <c r="J647" s="57" t="s">
        <v>9</v>
      </c>
      <c r="K647" s="58"/>
    </row>
    <row r="648" spans="1:13" ht="15" customHeight="1" x14ac:dyDescent="0.25">
      <c r="A648" s="6" t="s">
        <v>502</v>
      </c>
      <c r="B648" s="28">
        <v>88323</v>
      </c>
      <c r="C648" s="91" t="str">
        <f>VLOOKUP(B648,S!$A:$D,2,FALSE)</f>
        <v>TELHADISTA COM ENCARGOS COMPLEMENTARES</v>
      </c>
      <c r="D648" s="91"/>
      <c r="E648" s="91"/>
      <c r="F648" s="92"/>
      <c r="G648" s="6" t="str">
        <f>VLOOKUP(B648,S!$A:$D,3,FALSE)</f>
        <v>H</v>
      </c>
      <c r="H648" s="21"/>
      <c r="I648" s="21">
        <f>J657</f>
        <v>22.56</v>
      </c>
      <c r="J648" s="76"/>
      <c r="K648" s="72"/>
      <c r="L648" s="21">
        <f>VLOOKUP(B648,S!$A:$D,4,FALSE)</f>
        <v>22.56</v>
      </c>
      <c r="M648" s="6" t="str">
        <f>IF(ROUND((L648-I648),2)=0,"OK, confere com a tabela.",IF(ROUND((L648-I648),2)&lt;0,"ACIMA ("&amp;TEXT(ROUND(I648*100/L648,4),"0,0000")&amp;" %) da tabela.","ABAIXO ("&amp;TEXT(ROUND(I648*100/L648,4),"0,0000")&amp;" %) da tabela."))</f>
        <v>OK, confere com a tabela.</v>
      </c>
    </row>
    <row r="649" spans="1:13" ht="15" customHeight="1" x14ac:dyDescent="0.25">
      <c r="A649" s="16" t="s">
        <v>306</v>
      </c>
      <c r="B649" s="20">
        <v>12869</v>
      </c>
      <c r="C649" s="77" t="str">
        <f>VLOOKUP(B649,IF(A649="COMPOSICAO",S!$A:$D,I!$A:$D),2,FALSE)</f>
        <v>TELHADOR</v>
      </c>
      <c r="D649" s="77"/>
      <c r="E649" s="77"/>
      <c r="F649" s="77"/>
      <c r="G649" s="16" t="str">
        <f>VLOOKUP(B649,IF(A649="COMPOSICAO",S!$A:$D,I!$A:$D),3,FALSE)</f>
        <v>H</v>
      </c>
      <c r="H649" s="17">
        <v>1</v>
      </c>
      <c r="I649" s="17">
        <f>IF(A649="COMPOSICAO",VLOOKUP("TOTAL - "&amp;B649,COMPOSICAO_AUX_2!$A:$J,10,FALSE),VLOOKUP(B649,I!$A:$D,4,FALSE))</f>
        <v>17.82</v>
      </c>
      <c r="J649" s="80">
        <f t="shared" ref="J649:J656" si="28">TRUNC(H649*I649,2)</f>
        <v>17.82</v>
      </c>
      <c r="K649" s="81"/>
    </row>
    <row r="650" spans="1:13" ht="15" customHeight="1" x14ac:dyDescent="0.25">
      <c r="A650" s="16" t="s">
        <v>306</v>
      </c>
      <c r="B650" s="20">
        <v>37370</v>
      </c>
      <c r="C650" s="77" t="str">
        <f>VLOOKUP(B650,IF(A650="COMPOSICAO",S!$A:$D,I!$A:$D),2,FALSE)</f>
        <v>ALIMENTACAO - HORISTA (COLETADO CAIXA)</v>
      </c>
      <c r="D650" s="77"/>
      <c r="E650" s="77"/>
      <c r="F650" s="77"/>
      <c r="G650" s="16" t="str">
        <f>VLOOKUP(B650,IF(A650="COMPOSICAO",S!$A:$D,I!$A:$D),3,FALSE)</f>
        <v>H</v>
      </c>
      <c r="H650" s="17">
        <v>1</v>
      </c>
      <c r="I650" s="17">
        <f>IF(A650="COMPOSICAO",VLOOKUP("TOTAL - "&amp;B650,COMPOSICAO_AUX_2!$A:$J,10,FALSE),VLOOKUP(B650,I!$A:$D,4,FALSE))</f>
        <v>1.86</v>
      </c>
      <c r="J650" s="80">
        <f t="shared" si="28"/>
        <v>1.86</v>
      </c>
      <c r="K650" s="81"/>
    </row>
    <row r="651" spans="1:13" ht="15" customHeight="1" x14ac:dyDescent="0.25">
      <c r="A651" s="16" t="s">
        <v>306</v>
      </c>
      <c r="B651" s="20">
        <v>37371</v>
      </c>
      <c r="C651" s="77" t="str">
        <f>VLOOKUP(B651,IF(A651="COMPOSICAO",S!$A:$D,I!$A:$D),2,FALSE)</f>
        <v>TRANSPORTE - HORISTA (COLETADO CAIXA)</v>
      </c>
      <c r="D651" s="77"/>
      <c r="E651" s="77"/>
      <c r="F651" s="77"/>
      <c r="G651" s="16" t="str">
        <f>VLOOKUP(B651,IF(A651="COMPOSICAO",S!$A:$D,I!$A:$D),3,FALSE)</f>
        <v>H</v>
      </c>
      <c r="H651" s="17">
        <v>1</v>
      </c>
      <c r="I651" s="17">
        <f>IF(A651="COMPOSICAO",VLOOKUP("TOTAL - "&amp;B651,COMPOSICAO_AUX_2!$A:$J,10,FALSE),VLOOKUP(B651,I!$A:$D,4,FALSE))</f>
        <v>0.7</v>
      </c>
      <c r="J651" s="80">
        <f t="shared" si="28"/>
        <v>0.7</v>
      </c>
      <c r="K651" s="81"/>
    </row>
    <row r="652" spans="1:13" ht="15" customHeight="1" x14ac:dyDescent="0.25">
      <c r="A652" s="16" t="s">
        <v>306</v>
      </c>
      <c r="B652" s="20">
        <v>37372</v>
      </c>
      <c r="C652" s="77" t="str">
        <f>VLOOKUP(B652,IF(A652="COMPOSICAO",S!$A:$D,I!$A:$D),2,FALSE)</f>
        <v>EXAMES - HORISTA (COLETADO CAIXA)</v>
      </c>
      <c r="D652" s="77"/>
      <c r="E652" s="77"/>
      <c r="F652" s="77"/>
      <c r="G652" s="16" t="str">
        <f>VLOOKUP(B652,IF(A652="COMPOSICAO",S!$A:$D,I!$A:$D),3,FALSE)</f>
        <v>H</v>
      </c>
      <c r="H652" s="17">
        <v>1</v>
      </c>
      <c r="I652" s="17">
        <f>IF(A652="COMPOSICAO",VLOOKUP("TOTAL - "&amp;B652,COMPOSICAO_AUX_2!$A:$J,10,FALSE),VLOOKUP(B652,I!$A:$D,4,FALSE))</f>
        <v>0.55000000000000004</v>
      </c>
      <c r="J652" s="80">
        <f t="shared" si="28"/>
        <v>0.55000000000000004</v>
      </c>
      <c r="K652" s="81"/>
    </row>
    <row r="653" spans="1:13" ht="15" customHeight="1" x14ac:dyDescent="0.25">
      <c r="A653" s="16" t="s">
        <v>306</v>
      </c>
      <c r="B653" s="20">
        <v>37373</v>
      </c>
      <c r="C653" s="77" t="str">
        <f>VLOOKUP(B653,IF(A653="COMPOSICAO",S!$A:$D,I!$A:$D),2,FALSE)</f>
        <v>SEGURO - HORISTA (COLETADO CAIXA)</v>
      </c>
      <c r="D653" s="77"/>
      <c r="E653" s="77"/>
      <c r="F653" s="77"/>
      <c r="G653" s="16" t="str">
        <f>VLOOKUP(B653,IF(A653="COMPOSICAO",S!$A:$D,I!$A:$D),3,FALSE)</f>
        <v>H</v>
      </c>
      <c r="H653" s="17">
        <v>1</v>
      </c>
      <c r="I653" s="17">
        <f>IF(A653="COMPOSICAO",VLOOKUP("TOTAL - "&amp;B653,COMPOSICAO_AUX_2!$A:$J,10,FALSE),VLOOKUP(B653,I!$A:$D,4,FALSE))</f>
        <v>0.06</v>
      </c>
      <c r="J653" s="80">
        <f t="shared" si="28"/>
        <v>0.06</v>
      </c>
      <c r="K653" s="81"/>
    </row>
    <row r="654" spans="1:13" ht="45" customHeight="1" x14ac:dyDescent="0.25">
      <c r="A654" s="16" t="s">
        <v>306</v>
      </c>
      <c r="B654" s="20">
        <v>43459</v>
      </c>
      <c r="C654" s="77" t="str">
        <f>VLOOKUP(B654,IF(A654="COMPOSICAO",S!$A:$D,I!$A:$D),2,FALSE)</f>
        <v>FERRAMENTAS - FAMILIA CARPINTEIRO DE FORMAS - HORISTA (ENCARGOS COMPLEMENTARES - COLETADO CAIXA)</v>
      </c>
      <c r="D654" s="77"/>
      <c r="E654" s="77"/>
      <c r="F654" s="77"/>
      <c r="G654" s="16" t="str">
        <f>VLOOKUP(B654,IF(A654="COMPOSICAO",S!$A:$D,I!$A:$D),3,FALSE)</f>
        <v>H</v>
      </c>
      <c r="H654" s="17">
        <v>1</v>
      </c>
      <c r="I654" s="17">
        <f>IF(A654="COMPOSICAO",VLOOKUP("TOTAL - "&amp;B654,COMPOSICAO_AUX_2!$A:$J,10,FALSE),VLOOKUP(B654,I!$A:$D,4,FALSE))</f>
        <v>0.38</v>
      </c>
      <c r="J654" s="80">
        <f t="shared" si="28"/>
        <v>0.38</v>
      </c>
      <c r="K654" s="81"/>
    </row>
    <row r="655" spans="1:13" ht="30" customHeight="1" x14ac:dyDescent="0.25">
      <c r="A655" s="16" t="s">
        <v>306</v>
      </c>
      <c r="B655" s="20">
        <v>43483</v>
      </c>
      <c r="C655" s="77" t="str">
        <f>VLOOKUP(B655,IF(A655="COMPOSICAO",S!$A:$D,I!$A:$D),2,FALSE)</f>
        <v>EPI - FAMILIA CARPINTEIRO DE FORMAS - HORISTA (ENCARGOS COMPLEMENTARES - COLETADO CAIXA)</v>
      </c>
      <c r="D655" s="77"/>
      <c r="E655" s="77"/>
      <c r="F655" s="77"/>
      <c r="G655" s="16" t="str">
        <f>VLOOKUP(B655,IF(A655="COMPOSICAO",S!$A:$D,I!$A:$D),3,FALSE)</f>
        <v>H</v>
      </c>
      <c r="H655" s="17">
        <v>1</v>
      </c>
      <c r="I655" s="17">
        <f>IF(A655="COMPOSICAO",VLOOKUP("TOTAL - "&amp;B655,COMPOSICAO_AUX_2!$A:$J,10,FALSE),VLOOKUP(B655,I!$A:$D,4,FALSE))</f>
        <v>1.05</v>
      </c>
      <c r="J655" s="80">
        <f t="shared" si="28"/>
        <v>1.05</v>
      </c>
      <c r="K655" s="81"/>
    </row>
    <row r="656" spans="1:13" ht="30" customHeight="1" x14ac:dyDescent="0.25">
      <c r="A656" s="16" t="s">
        <v>302</v>
      </c>
      <c r="B656" s="20">
        <v>95385</v>
      </c>
      <c r="C656" s="77" t="str">
        <f>VLOOKUP(B656,IF(A656="COMPOSICAO",S!$A:$D,I!$A:$D),2,FALSE)</f>
        <v>CURSO DE CAPACITAÇÃO PARA TELHADISTA (ENCARGOS COMPLEMENTARES) - HORISTA</v>
      </c>
      <c r="D656" s="77"/>
      <c r="E656" s="77"/>
      <c r="F656" s="77"/>
      <c r="G656" s="16" t="str">
        <f>VLOOKUP(B656,IF(A656="COMPOSICAO",S!$A:$D,I!$A:$D),3,FALSE)</f>
        <v>H</v>
      </c>
      <c r="H656" s="17">
        <v>1</v>
      </c>
      <c r="I656" s="17">
        <f>IF(A656="COMPOSICAO",VLOOKUP("TOTAL - "&amp;B656,COMPOSICAO_AUX_2!$A:$J,10,FALSE),VLOOKUP(B656,I!$A:$D,4,FALSE))</f>
        <v>0.14000000000000001</v>
      </c>
      <c r="J656" s="80">
        <f t="shared" si="28"/>
        <v>0.14000000000000001</v>
      </c>
      <c r="K656" s="81"/>
    </row>
    <row r="657" spans="1:13" ht="15" customHeight="1" x14ac:dyDescent="0.25">
      <c r="A657" s="23" t="s">
        <v>608</v>
      </c>
      <c r="B657" s="24"/>
      <c r="C657" s="24"/>
      <c r="D657" s="24"/>
      <c r="E657" s="24"/>
      <c r="F657" s="24"/>
      <c r="G657" s="25"/>
      <c r="H657" s="26"/>
      <c r="I657" s="27"/>
      <c r="J657" s="80">
        <f>SUM(J648:K656)</f>
        <v>22.56</v>
      </c>
      <c r="K657" s="81"/>
    </row>
    <row r="658" spans="1:13" ht="15" customHeight="1" x14ac:dyDescent="0.25">
      <c r="A658" s="3"/>
      <c r="B658" s="3"/>
      <c r="C658" s="3"/>
      <c r="D658" s="3"/>
      <c r="E658" s="3"/>
      <c r="F658" s="3"/>
      <c r="G658" s="3"/>
      <c r="H658" s="3"/>
      <c r="I658" s="3"/>
      <c r="J658" s="3"/>
      <c r="K658" s="3"/>
    </row>
    <row r="659" spans="1:13" ht="15" customHeight="1" x14ac:dyDescent="0.25">
      <c r="A659" s="10" t="s">
        <v>295</v>
      </c>
      <c r="B659" s="10" t="s">
        <v>31</v>
      </c>
      <c r="C659" s="82" t="s">
        <v>7</v>
      </c>
      <c r="D659" s="83"/>
      <c r="E659" s="83"/>
      <c r="F659" s="83"/>
      <c r="G659" s="6" t="s">
        <v>32</v>
      </c>
      <c r="H659" s="6" t="s">
        <v>296</v>
      </c>
      <c r="I659" s="6" t="s">
        <v>297</v>
      </c>
      <c r="J659" s="57" t="s">
        <v>9</v>
      </c>
      <c r="K659" s="58"/>
    </row>
    <row r="660" spans="1:13" ht="60" customHeight="1" x14ac:dyDescent="0.25">
      <c r="A660" s="6" t="s">
        <v>502</v>
      </c>
      <c r="B660" s="28">
        <v>87313</v>
      </c>
      <c r="C660" s="91" t="str">
        <f>VLOOKUP(B660,S!$A:$D,2,FALSE)</f>
        <v>ARGAMASSA TRAÇO 1:3 (EM VOLUME DE CIMENTO E AREIA GROSSA ÚMIDA) PARA CHAPISCO CONVENCIONAL, PREPARO MECÂNICO COM BETONEIRA 400 L. AF_08/2019</v>
      </c>
      <c r="D660" s="91"/>
      <c r="E660" s="91"/>
      <c r="F660" s="92"/>
      <c r="G660" s="6" t="str">
        <f>VLOOKUP(B660,S!$A:$D,3,FALSE)</f>
        <v>M3</v>
      </c>
      <c r="H660" s="21"/>
      <c r="I660" s="21">
        <f>J666</f>
        <v>437.84000000000003</v>
      </c>
      <c r="J660" s="76"/>
      <c r="K660" s="72"/>
      <c r="L660" s="21">
        <f>VLOOKUP(B660,S!$A:$D,4,FALSE)</f>
        <v>437.84</v>
      </c>
      <c r="M660" s="6" t="str">
        <f>IF(ROUND((L660-I660),2)=0,"OK, confere com a tabela.",IF(ROUND((L660-I660),2)&lt;0,"ACIMA ("&amp;TEXT(ROUND(I660*100/L660,4),"0,0000")&amp;" %) da tabela.","ABAIXO ("&amp;TEXT(ROUND(I660*100/L660,4),"0,0000")&amp;" %) da tabela."))</f>
        <v>OK, confere com a tabela.</v>
      </c>
    </row>
    <row r="661" spans="1:13" ht="30" customHeight="1" x14ac:dyDescent="0.25">
      <c r="A661" s="16" t="s">
        <v>306</v>
      </c>
      <c r="B661" s="20">
        <v>367</v>
      </c>
      <c r="C661" s="77" t="str">
        <f>VLOOKUP(B661,IF(A661="COMPOSICAO",S!$A:$D,I!$A:$D),2,FALSE)</f>
        <v>AREIA GROSSA - POSTO JAZIDA/FORNECEDOR (RETIRADO NA JAZIDA, SEM TRANSPORTE)</v>
      </c>
      <c r="D661" s="77"/>
      <c r="E661" s="77"/>
      <c r="F661" s="77"/>
      <c r="G661" s="16" t="str">
        <f>VLOOKUP(B661,IF(A661="COMPOSICAO",S!$A:$D,I!$A:$D),3,FALSE)</f>
        <v>M3</v>
      </c>
      <c r="H661" s="17">
        <v>0.95</v>
      </c>
      <c r="I661" s="17">
        <f>IF(A661="COMPOSICAO",VLOOKUP("TOTAL - "&amp;B661,COMPOSICAO_AUX_2!$A:$J,10,FALSE),VLOOKUP(B661,I!$A:$D,4,FALSE))</f>
        <v>53.34</v>
      </c>
      <c r="J661" s="80">
        <f>TRUNC(H661*I661,2)</f>
        <v>50.67</v>
      </c>
      <c r="K661" s="81"/>
    </row>
    <row r="662" spans="1:13" ht="15" customHeight="1" x14ac:dyDescent="0.25">
      <c r="A662" s="16" t="s">
        <v>306</v>
      </c>
      <c r="B662" s="20">
        <v>1379</v>
      </c>
      <c r="C662" s="77" t="str">
        <f>VLOOKUP(B662,IF(A662="COMPOSICAO",S!$A:$D,I!$A:$D),2,FALSE)</f>
        <v>CIMENTO PORTLAND COMPOSTO CP II-32</v>
      </c>
      <c r="D662" s="77"/>
      <c r="E662" s="77"/>
      <c r="F662" s="77"/>
      <c r="G662" s="16" t="str">
        <f>VLOOKUP(B662,IF(A662="COMPOSICAO",S!$A:$D,I!$A:$D),3,FALSE)</f>
        <v>KG</v>
      </c>
      <c r="H662" s="17">
        <v>426.49</v>
      </c>
      <c r="I662" s="17">
        <f>IF(A662="COMPOSICAO",VLOOKUP("TOTAL - "&amp;B662,COMPOSICAO_AUX_2!$A:$J,10,FALSE),VLOOKUP(B662,I!$A:$D,4,FALSE))</f>
        <v>0.7</v>
      </c>
      <c r="J662" s="80">
        <f>TRUNC(H662*I662,2)</f>
        <v>298.54000000000002</v>
      </c>
      <c r="K662" s="81"/>
    </row>
    <row r="663" spans="1:13" ht="30" customHeight="1" x14ac:dyDescent="0.25">
      <c r="A663" s="16" t="s">
        <v>302</v>
      </c>
      <c r="B663" s="20">
        <v>88377</v>
      </c>
      <c r="C663" s="77" t="str">
        <f>VLOOKUP(B663,IF(A663="COMPOSICAO",S!$A:$D,I!$A:$D),2,FALSE)</f>
        <v>OPERADOR DE BETONEIRA ESTACIONÁRIA/MISTURADOR COM ENCARGOS COMPLEMENTARES</v>
      </c>
      <c r="D663" s="77"/>
      <c r="E663" s="77"/>
      <c r="F663" s="77"/>
      <c r="G663" s="16" t="str">
        <f>VLOOKUP(B663,IF(A663="COMPOSICAO",S!$A:$D,I!$A:$D),3,FALSE)</f>
        <v>H</v>
      </c>
      <c r="H663" s="17">
        <v>4.32</v>
      </c>
      <c r="I663" s="17">
        <f>IF(A663="COMPOSICAO",VLOOKUP("TOTAL - "&amp;B663,COMPOSICAO_AUX_2!$A:$J,10,FALSE),VLOOKUP(B663,I!$A:$D,4,FALSE))</f>
        <v>19.810000000000002</v>
      </c>
      <c r="J663" s="80">
        <f>TRUNC(H663*I663,2)</f>
        <v>85.57</v>
      </c>
      <c r="K663" s="81"/>
    </row>
    <row r="664" spans="1:13" ht="60" customHeight="1" x14ac:dyDescent="0.25">
      <c r="A664" s="16" t="s">
        <v>302</v>
      </c>
      <c r="B664" s="20">
        <v>88830</v>
      </c>
      <c r="C664" s="77" t="str">
        <f>VLOOKUP(B664,IF(A664="COMPOSICAO",S!$A:$D,I!$A:$D),2,FALSE)</f>
        <v>BETONEIRA CAPACIDADE NOMINAL DE 400 L, CAPACIDADE DE MISTURA 280 L, MOTOR ELÉTRICO TRIFÁSICO POTÊNCIA DE 2 CV, SEM CARREGADOR - CHP DIURNO. AF_10/2014</v>
      </c>
      <c r="D664" s="77"/>
      <c r="E664" s="77"/>
      <c r="F664" s="77"/>
      <c r="G664" s="16" t="str">
        <f>VLOOKUP(B664,IF(A664="COMPOSICAO",S!$A:$D,I!$A:$D),3,FALSE)</f>
        <v>CHP</v>
      </c>
      <c r="H664" s="17">
        <v>1.01</v>
      </c>
      <c r="I664" s="17">
        <f>IF(A664="COMPOSICAO",VLOOKUP("TOTAL - "&amp;B664,COMPOSICAO_AUX_2!$A:$J,10,FALSE),VLOOKUP(B664,I!$A:$D,4,FALSE))</f>
        <v>1.7</v>
      </c>
      <c r="J664" s="80">
        <f>TRUNC(H664*I664,2)</f>
        <v>1.71</v>
      </c>
      <c r="K664" s="81"/>
    </row>
    <row r="665" spans="1:13" ht="60" customHeight="1" x14ac:dyDescent="0.25">
      <c r="A665" s="16" t="s">
        <v>302</v>
      </c>
      <c r="B665" s="20">
        <v>88831</v>
      </c>
      <c r="C665" s="77" t="str">
        <f>VLOOKUP(B665,IF(A665="COMPOSICAO",S!$A:$D,I!$A:$D),2,FALSE)</f>
        <v>BETONEIRA CAPACIDADE NOMINAL DE 400 L, CAPACIDADE DE MISTURA 280 L, MOTOR ELÉTRICO TRIFÁSICO POTÊNCIA DE 2 CV, SEM CARREGADOR - CHI DIURNO. AF_10/2014</v>
      </c>
      <c r="D665" s="77"/>
      <c r="E665" s="77"/>
      <c r="F665" s="77"/>
      <c r="G665" s="16" t="str">
        <f>VLOOKUP(B665,IF(A665="COMPOSICAO",S!$A:$D,I!$A:$D),3,FALSE)</f>
        <v>CHI</v>
      </c>
      <c r="H665" s="17">
        <v>3.31</v>
      </c>
      <c r="I665" s="17">
        <f>IF(A665="COMPOSICAO",VLOOKUP("TOTAL - "&amp;B665,COMPOSICAO_AUX_2!$A:$J,10,FALSE),VLOOKUP(B665,I!$A:$D,4,FALSE))</f>
        <v>0.41</v>
      </c>
      <c r="J665" s="80">
        <f>TRUNC(H665*I665,2)</f>
        <v>1.35</v>
      </c>
      <c r="K665" s="81"/>
    </row>
    <row r="666" spans="1:13" ht="15" customHeight="1" x14ac:dyDescent="0.25">
      <c r="A666" s="23" t="s">
        <v>609</v>
      </c>
      <c r="B666" s="24"/>
      <c r="C666" s="24"/>
      <c r="D666" s="24"/>
      <c r="E666" s="24"/>
      <c r="F666" s="24"/>
      <c r="G666" s="25"/>
      <c r="H666" s="26"/>
      <c r="I666" s="27"/>
      <c r="J666" s="80">
        <f>SUM(J660:K665)</f>
        <v>437.84000000000003</v>
      </c>
      <c r="K666" s="81"/>
    </row>
    <row r="667" spans="1:13" ht="15" customHeight="1" x14ac:dyDescent="0.25">
      <c r="A667" s="3"/>
      <c r="B667" s="3"/>
      <c r="C667" s="3"/>
      <c r="D667" s="3"/>
      <c r="E667" s="3"/>
      <c r="F667" s="3"/>
      <c r="G667" s="3"/>
      <c r="H667" s="3"/>
      <c r="I667" s="3"/>
      <c r="J667" s="3"/>
      <c r="K667" s="3"/>
    </row>
    <row r="668" spans="1:13" ht="15" customHeight="1" x14ac:dyDescent="0.25">
      <c r="A668" s="10" t="s">
        <v>295</v>
      </c>
      <c r="B668" s="10" t="s">
        <v>31</v>
      </c>
      <c r="C668" s="82" t="s">
        <v>7</v>
      </c>
      <c r="D668" s="83"/>
      <c r="E668" s="83"/>
      <c r="F668" s="83"/>
      <c r="G668" s="6" t="s">
        <v>32</v>
      </c>
      <c r="H668" s="6" t="s">
        <v>296</v>
      </c>
      <c r="I668" s="6" t="s">
        <v>297</v>
      </c>
      <c r="J668" s="57" t="s">
        <v>9</v>
      </c>
      <c r="K668" s="58"/>
    </row>
    <row r="669" spans="1:13" ht="60" customHeight="1" x14ac:dyDescent="0.25">
      <c r="A669" s="6" t="s">
        <v>502</v>
      </c>
      <c r="B669" s="28">
        <v>87369</v>
      </c>
      <c r="C669" s="91" t="str">
        <f>VLOOKUP(B669,S!$A:$D,2,FALSE)</f>
        <v>ARGAMASSA TRAÇO 1:2:8 (EM VOLUME DE CIMENTO, CAL E AREIA MÉDIA ÚMIDA) PARA EMBOÇO/MASSA ÚNICA/ASSENTAMENTO DE ALVENARIA DE VEDAÇÃO, PREPARO MANUAL. AF_08/2019</v>
      </c>
      <c r="D669" s="91"/>
      <c r="E669" s="91"/>
      <c r="F669" s="92"/>
      <c r="G669" s="6" t="str">
        <f>VLOOKUP(B669,S!$A:$D,3,FALSE)</f>
        <v>M3</v>
      </c>
      <c r="H669" s="21"/>
      <c r="I669" s="21">
        <f>J674</f>
        <v>541.25</v>
      </c>
      <c r="J669" s="76"/>
      <c r="K669" s="72"/>
      <c r="L669" s="21">
        <f>VLOOKUP(B669,S!$A:$D,4,FALSE)</f>
        <v>541.25</v>
      </c>
      <c r="M669" s="6" t="str">
        <f>IF(ROUND((L669-I669),2)=0,"OK, confere com a tabela.",IF(ROUND((L669-I669),2)&lt;0,"ACIMA ("&amp;TEXT(ROUND(I669*100/L669,4),"0,0000")&amp;" %) da tabela.","ABAIXO ("&amp;TEXT(ROUND(I669*100/L669,4),"0,0000")&amp;" %) da tabela."))</f>
        <v>OK, confere com a tabela.</v>
      </c>
    </row>
    <row r="670" spans="1:13" ht="30" customHeight="1" x14ac:dyDescent="0.25">
      <c r="A670" s="16" t="s">
        <v>306</v>
      </c>
      <c r="B670" s="20">
        <v>370</v>
      </c>
      <c r="C670" s="77" t="str">
        <f>VLOOKUP(B670,IF(A670="COMPOSICAO",S!$A:$D,I!$A:$D),2,FALSE)</f>
        <v>AREIA MEDIA - POSTO JAZIDA/FORNECEDOR (RETIRADO NA JAZIDA, SEM TRANSPORTE)</v>
      </c>
      <c r="D670" s="77"/>
      <c r="E670" s="77"/>
      <c r="F670" s="77"/>
      <c r="G670" s="16" t="str">
        <f>VLOOKUP(B670,IF(A670="COMPOSICAO",S!$A:$D,I!$A:$D),3,FALSE)</f>
        <v>M3</v>
      </c>
      <c r="H670" s="17">
        <v>1.1399999999999999</v>
      </c>
      <c r="I670" s="17">
        <f>IF(A670="COMPOSICAO",VLOOKUP("TOTAL - "&amp;B670,COMPOSICAO_AUX_2!$A:$J,10,FALSE),VLOOKUP(B670,I!$A:$D,4,FALSE))</f>
        <v>54</v>
      </c>
      <c r="J670" s="80">
        <f>TRUNC(H670*I670,2)</f>
        <v>61.56</v>
      </c>
      <c r="K670" s="81"/>
    </row>
    <row r="671" spans="1:13" ht="15" customHeight="1" x14ac:dyDescent="0.25">
      <c r="A671" s="16" t="s">
        <v>306</v>
      </c>
      <c r="B671" s="20">
        <v>1106</v>
      </c>
      <c r="C671" s="77" t="str">
        <f>VLOOKUP(B671,IF(A671="COMPOSICAO",S!$A:$D,I!$A:$D),2,FALSE)</f>
        <v>CAL HIDRATADA CH-I PARA ARGAMASSAS</v>
      </c>
      <c r="D671" s="77"/>
      <c r="E671" s="77"/>
      <c r="F671" s="77"/>
      <c r="G671" s="16" t="str">
        <f>VLOOKUP(B671,IF(A671="COMPOSICAO",S!$A:$D,I!$A:$D),3,FALSE)</f>
        <v>KG</v>
      </c>
      <c r="H671" s="17">
        <v>171.13</v>
      </c>
      <c r="I671" s="17">
        <f>IF(A671="COMPOSICAO",VLOOKUP("TOTAL - "&amp;B671,COMPOSICAO_AUX_2!$A:$J,10,FALSE),VLOOKUP(B671,I!$A:$D,4,FALSE))</f>
        <v>1.02</v>
      </c>
      <c r="J671" s="80">
        <f>TRUNC(H671*I671,2)</f>
        <v>174.55</v>
      </c>
      <c r="K671" s="81"/>
    </row>
    <row r="672" spans="1:13" ht="15" customHeight="1" x14ac:dyDescent="0.25">
      <c r="A672" s="16" t="s">
        <v>306</v>
      </c>
      <c r="B672" s="20">
        <v>1379</v>
      </c>
      <c r="C672" s="77" t="str">
        <f>VLOOKUP(B672,IF(A672="COMPOSICAO",S!$A:$D,I!$A:$D),2,FALSE)</f>
        <v>CIMENTO PORTLAND COMPOSTO CP II-32</v>
      </c>
      <c r="D672" s="77"/>
      <c r="E672" s="77"/>
      <c r="F672" s="77"/>
      <c r="G672" s="16" t="str">
        <f>VLOOKUP(B672,IF(A672="COMPOSICAO",S!$A:$D,I!$A:$D),3,FALSE)</f>
        <v>KG</v>
      </c>
      <c r="H672" s="17">
        <v>192.52</v>
      </c>
      <c r="I672" s="17">
        <f>IF(A672="COMPOSICAO",VLOOKUP("TOTAL - "&amp;B672,COMPOSICAO_AUX_2!$A:$J,10,FALSE),VLOOKUP(B672,I!$A:$D,4,FALSE))</f>
        <v>0.7</v>
      </c>
      <c r="J672" s="80">
        <f>TRUNC(H672*I672,2)</f>
        <v>134.76</v>
      </c>
      <c r="K672" s="81"/>
    </row>
    <row r="673" spans="1:13" ht="15" customHeight="1" x14ac:dyDescent="0.25">
      <c r="A673" s="16" t="s">
        <v>302</v>
      </c>
      <c r="B673" s="20">
        <v>88316</v>
      </c>
      <c r="C673" s="77" t="str">
        <f>VLOOKUP(B673,IF(A673="COMPOSICAO",S!$A:$D,I!$A:$D),2,FALSE)</f>
        <v>SERVENTE COM ENCARGOS COMPLEMENTARES</v>
      </c>
      <c r="D673" s="77"/>
      <c r="E673" s="77"/>
      <c r="F673" s="77"/>
      <c r="G673" s="16" t="str">
        <f>VLOOKUP(B673,IF(A673="COMPOSICAO",S!$A:$D,I!$A:$D),3,FALSE)</f>
        <v>H</v>
      </c>
      <c r="H673" s="17">
        <v>11.1</v>
      </c>
      <c r="I673" s="17">
        <f>IF(A673="COMPOSICAO",VLOOKUP("TOTAL - "&amp;B673,COMPOSICAO_AUX_2!$A:$J,10,FALSE),VLOOKUP(B673,I!$A:$D,4,FALSE))</f>
        <v>15.35</v>
      </c>
      <c r="J673" s="80">
        <f>TRUNC(H673*I673,2)</f>
        <v>170.38</v>
      </c>
      <c r="K673" s="81"/>
    </row>
    <row r="674" spans="1:13" ht="15" customHeight="1" x14ac:dyDescent="0.25">
      <c r="A674" s="23" t="s">
        <v>610</v>
      </c>
      <c r="B674" s="24"/>
      <c r="C674" s="24"/>
      <c r="D674" s="24"/>
      <c r="E674" s="24"/>
      <c r="F674" s="24"/>
      <c r="G674" s="25"/>
      <c r="H674" s="26"/>
      <c r="I674" s="27"/>
      <c r="J674" s="80">
        <f>SUM(J669:K673)</f>
        <v>541.25</v>
      </c>
      <c r="K674" s="81"/>
    </row>
    <row r="675" spans="1:13" ht="15" customHeight="1" x14ac:dyDescent="0.25">
      <c r="A675" s="3"/>
      <c r="B675" s="3"/>
      <c r="C675" s="3"/>
      <c r="D675" s="3"/>
      <c r="E675" s="3"/>
      <c r="F675" s="3"/>
      <c r="G675" s="3"/>
      <c r="H675" s="3"/>
      <c r="I675" s="3"/>
      <c r="J675" s="3"/>
      <c r="K675" s="3"/>
    </row>
    <row r="676" spans="1:13" ht="15" customHeight="1" x14ac:dyDescent="0.25">
      <c r="A676" s="10" t="s">
        <v>295</v>
      </c>
      <c r="B676" s="10" t="s">
        <v>31</v>
      </c>
      <c r="C676" s="82" t="s">
        <v>7</v>
      </c>
      <c r="D676" s="83"/>
      <c r="E676" s="83"/>
      <c r="F676" s="83"/>
      <c r="G676" s="6" t="s">
        <v>32</v>
      </c>
      <c r="H676" s="6" t="s">
        <v>296</v>
      </c>
      <c r="I676" s="6" t="s">
        <v>297</v>
      </c>
      <c r="J676" s="57" t="s">
        <v>9</v>
      </c>
      <c r="K676" s="58"/>
    </row>
    <row r="677" spans="1:13" ht="30" customHeight="1" x14ac:dyDescent="0.25">
      <c r="A677" s="6" t="s">
        <v>502</v>
      </c>
      <c r="B677" s="28">
        <v>88256</v>
      </c>
      <c r="C677" s="91" t="str">
        <f>VLOOKUP(B677,S!$A:$D,2,FALSE)</f>
        <v>AZULEJISTA OU LADRILHISTA COM ENCARGOS COMPLEMENTARES</v>
      </c>
      <c r="D677" s="91"/>
      <c r="E677" s="91"/>
      <c r="F677" s="92"/>
      <c r="G677" s="6" t="str">
        <f>VLOOKUP(B677,S!$A:$D,3,FALSE)</f>
        <v>H</v>
      </c>
      <c r="H677" s="21"/>
      <c r="I677" s="21">
        <f>J686</f>
        <v>23.259999999999998</v>
      </c>
      <c r="J677" s="76"/>
      <c r="K677" s="72"/>
      <c r="L677" s="21">
        <f>VLOOKUP(B677,S!$A:$D,4,FALSE)</f>
        <v>23.26</v>
      </c>
      <c r="M677" s="6" t="str">
        <f>IF(ROUND((L677-I677),2)=0,"OK, confere com a tabela.",IF(ROUND((L677-I677),2)&lt;0,"ACIMA ("&amp;TEXT(ROUND(I677*100/L677,4),"0,0000")&amp;" %) da tabela.","ABAIXO ("&amp;TEXT(ROUND(I677*100/L677,4),"0,0000")&amp;" %) da tabela."))</f>
        <v>OK, confere com a tabela.</v>
      </c>
    </row>
    <row r="678" spans="1:13" ht="15" customHeight="1" x14ac:dyDescent="0.25">
      <c r="A678" s="16" t="s">
        <v>306</v>
      </c>
      <c r="B678" s="20">
        <v>4760</v>
      </c>
      <c r="C678" s="77" t="str">
        <f>VLOOKUP(B678,IF(A678="COMPOSICAO",S!$A:$D,I!$A:$D),2,FALSE)</f>
        <v>AZULEJISTA OU LADRILHEIRO</v>
      </c>
      <c r="D678" s="77"/>
      <c r="E678" s="77"/>
      <c r="F678" s="77"/>
      <c r="G678" s="16" t="str">
        <f>VLOOKUP(B678,IF(A678="COMPOSICAO",S!$A:$D,I!$A:$D),3,FALSE)</f>
        <v>H</v>
      </c>
      <c r="H678" s="17">
        <v>1</v>
      </c>
      <c r="I678" s="17">
        <f>IF(A678="COMPOSICAO",VLOOKUP("TOTAL - "&amp;B678,COMPOSICAO_AUX_2!$A:$J,10,FALSE),VLOOKUP(B678,I!$A:$D,4,FALSE))</f>
        <v>18.37</v>
      </c>
      <c r="J678" s="80">
        <f t="shared" ref="J678:J685" si="29">TRUNC(H678*I678,2)</f>
        <v>18.37</v>
      </c>
      <c r="K678" s="81"/>
    </row>
    <row r="679" spans="1:13" ht="15" customHeight="1" x14ac:dyDescent="0.25">
      <c r="A679" s="16" t="s">
        <v>306</v>
      </c>
      <c r="B679" s="20">
        <v>37370</v>
      </c>
      <c r="C679" s="77" t="str">
        <f>VLOOKUP(B679,IF(A679="COMPOSICAO",S!$A:$D,I!$A:$D),2,FALSE)</f>
        <v>ALIMENTACAO - HORISTA (COLETADO CAIXA)</v>
      </c>
      <c r="D679" s="77"/>
      <c r="E679" s="77"/>
      <c r="F679" s="77"/>
      <c r="G679" s="16" t="str">
        <f>VLOOKUP(B679,IF(A679="COMPOSICAO",S!$A:$D,I!$A:$D),3,FALSE)</f>
        <v>H</v>
      </c>
      <c r="H679" s="17">
        <v>1</v>
      </c>
      <c r="I679" s="17">
        <f>IF(A679="COMPOSICAO",VLOOKUP("TOTAL - "&amp;B679,COMPOSICAO_AUX_2!$A:$J,10,FALSE),VLOOKUP(B679,I!$A:$D,4,FALSE))</f>
        <v>1.86</v>
      </c>
      <c r="J679" s="80">
        <f t="shared" si="29"/>
        <v>1.86</v>
      </c>
      <c r="K679" s="81"/>
    </row>
    <row r="680" spans="1:13" ht="15" customHeight="1" x14ac:dyDescent="0.25">
      <c r="A680" s="16" t="s">
        <v>306</v>
      </c>
      <c r="B680" s="20">
        <v>37371</v>
      </c>
      <c r="C680" s="77" t="str">
        <f>VLOOKUP(B680,IF(A680="COMPOSICAO",S!$A:$D,I!$A:$D),2,FALSE)</f>
        <v>TRANSPORTE - HORISTA (COLETADO CAIXA)</v>
      </c>
      <c r="D680" s="77"/>
      <c r="E680" s="77"/>
      <c r="F680" s="77"/>
      <c r="G680" s="16" t="str">
        <f>VLOOKUP(B680,IF(A680="COMPOSICAO",S!$A:$D,I!$A:$D),3,FALSE)</f>
        <v>H</v>
      </c>
      <c r="H680" s="17">
        <v>1</v>
      </c>
      <c r="I680" s="17">
        <f>IF(A680="COMPOSICAO",VLOOKUP("TOTAL - "&amp;B680,COMPOSICAO_AUX_2!$A:$J,10,FALSE),VLOOKUP(B680,I!$A:$D,4,FALSE))</f>
        <v>0.7</v>
      </c>
      <c r="J680" s="80">
        <f t="shared" si="29"/>
        <v>0.7</v>
      </c>
      <c r="K680" s="81"/>
    </row>
    <row r="681" spans="1:13" ht="15" customHeight="1" x14ac:dyDescent="0.25">
      <c r="A681" s="16" t="s">
        <v>306</v>
      </c>
      <c r="B681" s="20">
        <v>37372</v>
      </c>
      <c r="C681" s="77" t="str">
        <f>VLOOKUP(B681,IF(A681="COMPOSICAO",S!$A:$D,I!$A:$D),2,FALSE)</f>
        <v>EXAMES - HORISTA (COLETADO CAIXA)</v>
      </c>
      <c r="D681" s="77"/>
      <c r="E681" s="77"/>
      <c r="F681" s="77"/>
      <c r="G681" s="16" t="str">
        <f>VLOOKUP(B681,IF(A681="COMPOSICAO",S!$A:$D,I!$A:$D),3,FALSE)</f>
        <v>H</v>
      </c>
      <c r="H681" s="17">
        <v>1</v>
      </c>
      <c r="I681" s="17">
        <f>IF(A681="COMPOSICAO",VLOOKUP("TOTAL - "&amp;B681,COMPOSICAO_AUX_2!$A:$J,10,FALSE),VLOOKUP(B681,I!$A:$D,4,FALSE))</f>
        <v>0.55000000000000004</v>
      </c>
      <c r="J681" s="80">
        <f t="shared" si="29"/>
        <v>0.55000000000000004</v>
      </c>
      <c r="K681" s="81"/>
    </row>
    <row r="682" spans="1:13" ht="15" customHeight="1" x14ac:dyDescent="0.25">
      <c r="A682" s="16" t="s">
        <v>306</v>
      </c>
      <c r="B682" s="20">
        <v>37373</v>
      </c>
      <c r="C682" s="77" t="str">
        <f>VLOOKUP(B682,IF(A682="COMPOSICAO",S!$A:$D,I!$A:$D),2,FALSE)</f>
        <v>SEGURO - HORISTA (COLETADO CAIXA)</v>
      </c>
      <c r="D682" s="77"/>
      <c r="E682" s="77"/>
      <c r="F682" s="77"/>
      <c r="G682" s="16" t="str">
        <f>VLOOKUP(B682,IF(A682="COMPOSICAO",S!$A:$D,I!$A:$D),3,FALSE)</f>
        <v>H</v>
      </c>
      <c r="H682" s="17">
        <v>1</v>
      </c>
      <c r="I682" s="17">
        <f>IF(A682="COMPOSICAO",VLOOKUP("TOTAL - "&amp;B682,COMPOSICAO_AUX_2!$A:$J,10,FALSE),VLOOKUP(B682,I!$A:$D,4,FALSE))</f>
        <v>0.06</v>
      </c>
      <c r="J682" s="80">
        <f t="shared" si="29"/>
        <v>0.06</v>
      </c>
      <c r="K682" s="81"/>
    </row>
    <row r="683" spans="1:13" ht="30" customHeight="1" x14ac:dyDescent="0.25">
      <c r="A683" s="16" t="s">
        <v>306</v>
      </c>
      <c r="B683" s="20">
        <v>43465</v>
      </c>
      <c r="C683" s="77" t="str">
        <f>VLOOKUP(B683,IF(A683="COMPOSICAO",S!$A:$D,I!$A:$D),2,FALSE)</f>
        <v>FERRAMENTAS - FAMILIA PEDREIRO - HORISTA (ENCARGOS COMPLEMENTARES - COLETADO CAIXA)</v>
      </c>
      <c r="D683" s="77"/>
      <c r="E683" s="77"/>
      <c r="F683" s="77"/>
      <c r="G683" s="16" t="str">
        <f>VLOOKUP(B683,IF(A683="COMPOSICAO",S!$A:$D,I!$A:$D),3,FALSE)</f>
        <v>H</v>
      </c>
      <c r="H683" s="17">
        <v>1</v>
      </c>
      <c r="I683" s="17">
        <f>IF(A683="COMPOSICAO",VLOOKUP("TOTAL - "&amp;B683,COMPOSICAO_AUX_2!$A:$J,10,FALSE),VLOOKUP(B683,I!$A:$D,4,FALSE))</f>
        <v>0.57999999999999996</v>
      </c>
      <c r="J683" s="80">
        <f t="shared" si="29"/>
        <v>0.57999999999999996</v>
      </c>
      <c r="K683" s="81"/>
    </row>
    <row r="684" spans="1:13" ht="30" customHeight="1" x14ac:dyDescent="0.25">
      <c r="A684" s="16" t="s">
        <v>306</v>
      </c>
      <c r="B684" s="20">
        <v>43489</v>
      </c>
      <c r="C684" s="77" t="str">
        <f>VLOOKUP(B684,IF(A684="COMPOSICAO",S!$A:$D,I!$A:$D),2,FALSE)</f>
        <v>EPI - FAMILIA PEDREIRO - HORISTA (ENCARGOS COMPLEMENTARES - COLETADO CAIXA)</v>
      </c>
      <c r="D684" s="77"/>
      <c r="E684" s="77"/>
      <c r="F684" s="77"/>
      <c r="G684" s="16" t="str">
        <f>VLOOKUP(B684,IF(A684="COMPOSICAO",S!$A:$D,I!$A:$D),3,FALSE)</f>
        <v>H</v>
      </c>
      <c r="H684" s="17">
        <v>1</v>
      </c>
      <c r="I684" s="17">
        <f>IF(A684="COMPOSICAO",VLOOKUP("TOTAL - "&amp;B684,COMPOSICAO_AUX_2!$A:$J,10,FALSE),VLOOKUP(B684,I!$A:$D,4,FALSE))</f>
        <v>0.95</v>
      </c>
      <c r="J684" s="80">
        <f t="shared" si="29"/>
        <v>0.95</v>
      </c>
      <c r="K684" s="81"/>
    </row>
    <row r="685" spans="1:13" ht="30" customHeight="1" x14ac:dyDescent="0.25">
      <c r="A685" s="16" t="s">
        <v>302</v>
      </c>
      <c r="B685" s="20">
        <v>95324</v>
      </c>
      <c r="C685" s="77" t="str">
        <f>VLOOKUP(B685,IF(A685="COMPOSICAO",S!$A:$D,I!$A:$D),2,FALSE)</f>
        <v>CURSO DE CAPACITAÇÃO PARA AZULEJISTA OU LADRILHISTA (ENCARGOS COMPLEMENTARES) - HORISTA</v>
      </c>
      <c r="D685" s="77"/>
      <c r="E685" s="77"/>
      <c r="F685" s="77"/>
      <c r="G685" s="16" t="str">
        <f>VLOOKUP(B685,IF(A685="COMPOSICAO",S!$A:$D,I!$A:$D),3,FALSE)</f>
        <v>H</v>
      </c>
      <c r="H685" s="17">
        <v>1</v>
      </c>
      <c r="I685" s="17">
        <f>IF(A685="COMPOSICAO",VLOOKUP("TOTAL - "&amp;B685,COMPOSICAO_AUX_2!$A:$J,10,FALSE),VLOOKUP(B685,I!$A:$D,4,FALSE))</f>
        <v>0.19</v>
      </c>
      <c r="J685" s="80">
        <f t="shared" si="29"/>
        <v>0.19</v>
      </c>
      <c r="K685" s="81"/>
    </row>
    <row r="686" spans="1:13" ht="15" customHeight="1" x14ac:dyDescent="0.25">
      <c r="A686" s="23" t="s">
        <v>611</v>
      </c>
      <c r="B686" s="24"/>
      <c r="C686" s="24"/>
      <c r="D686" s="24"/>
      <c r="E686" s="24"/>
      <c r="F686" s="24"/>
      <c r="G686" s="25"/>
      <c r="H686" s="26"/>
      <c r="I686" s="27"/>
      <c r="J686" s="80">
        <f>SUM(J677:K685)</f>
        <v>23.259999999999998</v>
      </c>
      <c r="K686" s="81"/>
    </row>
    <row r="687" spans="1:13" ht="15" customHeight="1" x14ac:dyDescent="0.25">
      <c r="A687" s="3"/>
      <c r="B687" s="3"/>
      <c r="C687" s="3"/>
      <c r="D687" s="3"/>
      <c r="E687" s="3"/>
      <c r="F687" s="3"/>
      <c r="G687" s="3"/>
      <c r="H687" s="3"/>
      <c r="I687" s="3"/>
      <c r="J687" s="3"/>
      <c r="K687" s="3"/>
    </row>
    <row r="688" spans="1:13" ht="15" customHeight="1" x14ac:dyDescent="0.25">
      <c r="A688" s="10" t="s">
        <v>295</v>
      </c>
      <c r="B688" s="10" t="s">
        <v>31</v>
      </c>
      <c r="C688" s="82" t="s">
        <v>7</v>
      </c>
      <c r="D688" s="83"/>
      <c r="E688" s="83"/>
      <c r="F688" s="83"/>
      <c r="G688" s="6" t="s">
        <v>32</v>
      </c>
      <c r="H688" s="6" t="s">
        <v>296</v>
      </c>
      <c r="I688" s="6" t="s">
        <v>297</v>
      </c>
      <c r="J688" s="57" t="s">
        <v>9</v>
      </c>
      <c r="K688" s="58"/>
    </row>
    <row r="689" spans="1:13" ht="60" customHeight="1" x14ac:dyDescent="0.25">
      <c r="A689" s="6" t="s">
        <v>376</v>
      </c>
      <c r="B689" s="28">
        <v>87246</v>
      </c>
      <c r="C689" s="91" t="str">
        <f>VLOOKUP(B689,S!$A:$D,2,FALSE)</f>
        <v>REVESTIMENTO CERÂMICO PARA PISO COM PLACAS TIPO ESMALTADA EXTRA DE DIMENSÕES 35X35 CM APLICADA EM AMBIENTES DE ÁREA MENOR QUE 5 M2. AF_06/2014</v>
      </c>
      <c r="D689" s="91"/>
      <c r="E689" s="91"/>
      <c r="F689" s="92"/>
      <c r="G689" s="6" t="str">
        <f>VLOOKUP(B689,S!$A:$D,3,FALSE)</f>
        <v>M2</v>
      </c>
      <c r="H689" s="21"/>
      <c r="I689" s="21">
        <f>J695</f>
        <v>60.140000000000008</v>
      </c>
      <c r="J689" s="76"/>
      <c r="K689" s="72"/>
      <c r="L689" s="21">
        <f>VLOOKUP(B689,S!$A:$D,4,FALSE)</f>
        <v>60.14</v>
      </c>
      <c r="M689" s="6" t="str">
        <f>IF(ROUND((L689-I689),2)=0,"OK, confere com a tabela.",IF(ROUND((L689-I689),2)&lt;0,"ACIMA ("&amp;TEXT(ROUND(I689*100/L689,4),"0,0000")&amp;" %) da tabela.","ABAIXO ("&amp;TEXT(ROUND(I689*100/L689,4),"0,0000")&amp;" %) da tabela."))</f>
        <v>OK, confere com a tabela.</v>
      </c>
    </row>
    <row r="690" spans="1:13" ht="45" customHeight="1" x14ac:dyDescent="0.25">
      <c r="A690" s="16" t="s">
        <v>306</v>
      </c>
      <c r="B690" s="20">
        <v>1287</v>
      </c>
      <c r="C690" s="77" t="str">
        <f>VLOOKUP(B690,IF(A690="COMPOSICAO",S!$A:$D,I!$A:$D),2,FALSE)</f>
        <v>PISO EM CERAMICA ESMALTADA EXTRA, PEI MAIOR OU IGUAL A 4, FORMATO MENOR OU IGUAL A 2025 CM2</v>
      </c>
      <c r="D690" s="77"/>
      <c r="E690" s="77"/>
      <c r="F690" s="77"/>
      <c r="G690" s="16" t="str">
        <f>VLOOKUP(B690,IF(A690="COMPOSICAO",S!$A:$D,I!$A:$D),3,FALSE)</f>
        <v>M2</v>
      </c>
      <c r="H690" s="17">
        <v>1.08</v>
      </c>
      <c r="I690" s="17">
        <f>IF(A690="COMPOSICAO",VLOOKUP("TOTAL - "&amp;B690,COMPOSICAO_AUX_2!$A:$J,10,FALSE),VLOOKUP(B690,I!$A:$D,4,FALSE))</f>
        <v>34.909999999999997</v>
      </c>
      <c r="J690" s="80">
        <f>TRUNC(H690*I690,2)</f>
        <v>37.700000000000003</v>
      </c>
      <c r="K690" s="81"/>
    </row>
    <row r="691" spans="1:13" ht="15" customHeight="1" x14ac:dyDescent="0.25">
      <c r="A691" s="16" t="s">
        <v>306</v>
      </c>
      <c r="B691" s="20">
        <v>1381</v>
      </c>
      <c r="C691" s="77" t="str">
        <f>VLOOKUP(B691,IF(A691="COMPOSICAO",S!$A:$D,I!$A:$D),2,FALSE)</f>
        <v>ARGAMASSA COLANTE AC I PARA CERAMICAS</v>
      </c>
      <c r="D691" s="77"/>
      <c r="E691" s="77"/>
      <c r="F691" s="77"/>
      <c r="G691" s="16" t="str">
        <f>VLOOKUP(B691,IF(A691="COMPOSICAO",S!$A:$D,I!$A:$D),3,FALSE)</f>
        <v>KG</v>
      </c>
      <c r="H691" s="17">
        <v>4.8600000000000003</v>
      </c>
      <c r="I691" s="17">
        <f>IF(A691="COMPOSICAO",VLOOKUP("TOTAL - "&amp;B691,COMPOSICAO_AUX_2!$A:$J,10,FALSE),VLOOKUP(B691,I!$A:$D,4,FALSE))</f>
        <v>0.56999999999999995</v>
      </c>
      <c r="J691" s="80">
        <f>TRUNC(H691*I691,2)</f>
        <v>2.77</v>
      </c>
      <c r="K691" s="81"/>
    </row>
    <row r="692" spans="1:13" ht="15" customHeight="1" x14ac:dyDescent="0.25">
      <c r="A692" s="16" t="s">
        <v>306</v>
      </c>
      <c r="B692" s="20">
        <v>34357</v>
      </c>
      <c r="C692" s="77" t="str">
        <f>VLOOKUP(B692,IF(A692="COMPOSICAO",S!$A:$D,I!$A:$D),2,FALSE)</f>
        <v>REJUNTE CIMENTICIO, QUALQUER COR</v>
      </c>
      <c r="D692" s="77"/>
      <c r="E692" s="77"/>
      <c r="F692" s="77"/>
      <c r="G692" s="16" t="str">
        <f>VLOOKUP(B692,IF(A692="COMPOSICAO",S!$A:$D,I!$A:$D),3,FALSE)</f>
        <v>KG</v>
      </c>
      <c r="H692" s="17">
        <v>0.24</v>
      </c>
      <c r="I692" s="17">
        <f>IF(A692="COMPOSICAO",VLOOKUP("TOTAL - "&amp;B692,COMPOSICAO_AUX_2!$A:$J,10,FALSE),VLOOKUP(B692,I!$A:$D,4,FALSE))</f>
        <v>3.34</v>
      </c>
      <c r="J692" s="80">
        <f>TRUNC(H692*I692,2)</f>
        <v>0.8</v>
      </c>
      <c r="K692" s="81"/>
    </row>
    <row r="693" spans="1:13" ht="30" customHeight="1" x14ac:dyDescent="0.25">
      <c r="A693" s="16" t="s">
        <v>302</v>
      </c>
      <c r="B693" s="20">
        <v>88256</v>
      </c>
      <c r="C693" s="77" t="str">
        <f>VLOOKUP(B693,IF(A693="COMPOSICAO",S!$A:$D,I!$A:$D),2,FALSE)</f>
        <v>AZULEJISTA OU LADRILHISTA COM ENCARGOS COMPLEMENTARES</v>
      </c>
      <c r="D693" s="77"/>
      <c r="E693" s="77"/>
      <c r="F693" s="77"/>
      <c r="G693" s="16" t="str">
        <f>VLOOKUP(B693,IF(A693="COMPOSICAO",S!$A:$D,I!$A:$D),3,FALSE)</f>
        <v>H</v>
      </c>
      <c r="H693" s="17">
        <v>0.64</v>
      </c>
      <c r="I693" s="17">
        <f>IF(A693="COMPOSICAO",VLOOKUP("TOTAL - "&amp;B693,COMPOSICAO_AUX_2!$A:$J,10,FALSE),VLOOKUP(B693,I!$A:$D,4,FALSE))</f>
        <v>23.259999999999998</v>
      </c>
      <c r="J693" s="80">
        <f>TRUNC(H693*I693,2)</f>
        <v>14.88</v>
      </c>
      <c r="K693" s="81"/>
    </row>
    <row r="694" spans="1:13" ht="15" customHeight="1" x14ac:dyDescent="0.25">
      <c r="A694" s="16" t="s">
        <v>302</v>
      </c>
      <c r="B694" s="20">
        <v>88316</v>
      </c>
      <c r="C694" s="77" t="str">
        <f>VLOOKUP(B694,IF(A694="COMPOSICAO",S!$A:$D,I!$A:$D),2,FALSE)</f>
        <v>SERVENTE COM ENCARGOS COMPLEMENTARES</v>
      </c>
      <c r="D694" s="77"/>
      <c r="E694" s="77"/>
      <c r="F694" s="77"/>
      <c r="G694" s="16" t="str">
        <f>VLOOKUP(B694,IF(A694="COMPOSICAO",S!$A:$D,I!$A:$D),3,FALSE)</f>
        <v>H</v>
      </c>
      <c r="H694" s="17">
        <v>0.26</v>
      </c>
      <c r="I694" s="17">
        <f>IF(A694="COMPOSICAO",VLOOKUP("TOTAL - "&amp;B694,COMPOSICAO_AUX_2!$A:$J,10,FALSE),VLOOKUP(B694,I!$A:$D,4,FALSE))</f>
        <v>15.35</v>
      </c>
      <c r="J694" s="80">
        <f>TRUNC(H694*I694,2)</f>
        <v>3.99</v>
      </c>
      <c r="K694" s="81"/>
    </row>
    <row r="695" spans="1:13" ht="15" customHeight="1" x14ac:dyDescent="0.25">
      <c r="A695" s="23" t="s">
        <v>612</v>
      </c>
      <c r="B695" s="24"/>
      <c r="C695" s="24"/>
      <c r="D695" s="24"/>
      <c r="E695" s="24"/>
      <c r="F695" s="24"/>
      <c r="G695" s="25"/>
      <c r="H695" s="26"/>
      <c r="I695" s="27"/>
      <c r="J695" s="80">
        <f>SUM(J689:K694)</f>
        <v>60.140000000000008</v>
      </c>
      <c r="K695" s="81"/>
    </row>
    <row r="696" spans="1:13" ht="15" customHeight="1" x14ac:dyDescent="0.25">
      <c r="A696" s="3"/>
      <c r="B696" s="3"/>
      <c r="C696" s="3"/>
      <c r="D696" s="3"/>
      <c r="E696" s="3"/>
      <c r="F696" s="3"/>
      <c r="G696" s="3"/>
      <c r="H696" s="3"/>
      <c r="I696" s="3"/>
      <c r="J696" s="3"/>
      <c r="K696" s="3"/>
    </row>
    <row r="697" spans="1:13" ht="15" customHeight="1" x14ac:dyDescent="0.25">
      <c r="A697" s="10" t="s">
        <v>295</v>
      </c>
      <c r="B697" s="10" t="s">
        <v>31</v>
      </c>
      <c r="C697" s="82" t="s">
        <v>7</v>
      </c>
      <c r="D697" s="83"/>
      <c r="E697" s="83"/>
      <c r="F697" s="83"/>
      <c r="G697" s="6" t="s">
        <v>32</v>
      </c>
      <c r="H697" s="6" t="s">
        <v>296</v>
      </c>
      <c r="I697" s="6" t="s">
        <v>297</v>
      </c>
      <c r="J697" s="57" t="s">
        <v>9</v>
      </c>
      <c r="K697" s="58"/>
    </row>
    <row r="698" spans="1:13" ht="60" customHeight="1" x14ac:dyDescent="0.25">
      <c r="A698" s="6" t="s">
        <v>376</v>
      </c>
      <c r="B698" s="28">
        <v>87247</v>
      </c>
      <c r="C698" s="91" t="str">
        <f>VLOOKUP(B698,S!$A:$D,2,FALSE)</f>
        <v>REVESTIMENTO CERÂMICO PARA PISO COM PLACAS TIPO ESMALTADA EXTRA DE DIMENSÕES 35X35 CM APLICADA EM AMBIENTES DE ÁREA ENTRE 5 M2 E 10 M2. AF_06/2014</v>
      </c>
      <c r="D698" s="91"/>
      <c r="E698" s="91"/>
      <c r="F698" s="92"/>
      <c r="G698" s="6" t="str">
        <f>VLOOKUP(B698,S!$A:$D,3,FALSE)</f>
        <v>M2</v>
      </c>
      <c r="H698" s="21"/>
      <c r="I698" s="21">
        <f>J704</f>
        <v>53.64</v>
      </c>
      <c r="J698" s="76"/>
      <c r="K698" s="72"/>
      <c r="L698" s="21">
        <f>VLOOKUP(B698,S!$A:$D,4,FALSE)</f>
        <v>53.64</v>
      </c>
      <c r="M698" s="6" t="str">
        <f>IF(ROUND((L698-I698),2)=0,"OK, confere com a tabela.",IF(ROUND((L698-I698),2)&lt;0,"ACIMA ("&amp;TEXT(ROUND(I698*100/L698,4),"0,0000")&amp;" %) da tabela.","ABAIXO ("&amp;TEXT(ROUND(I698*100/L698,4),"0,0000")&amp;" %) da tabela."))</f>
        <v>OK, confere com a tabela.</v>
      </c>
    </row>
    <row r="699" spans="1:13" ht="45" customHeight="1" x14ac:dyDescent="0.25">
      <c r="A699" s="16" t="s">
        <v>306</v>
      </c>
      <c r="B699" s="20">
        <v>1287</v>
      </c>
      <c r="C699" s="77" t="str">
        <f>VLOOKUP(B699,IF(A699="COMPOSICAO",S!$A:$D,I!$A:$D),2,FALSE)</f>
        <v>PISO EM CERAMICA ESMALTADA EXTRA, PEI MAIOR OU IGUAL A 4, FORMATO MENOR OU IGUAL A 2025 CM2</v>
      </c>
      <c r="D699" s="77"/>
      <c r="E699" s="77"/>
      <c r="F699" s="77"/>
      <c r="G699" s="16" t="str">
        <f>VLOOKUP(B699,IF(A699="COMPOSICAO",S!$A:$D,I!$A:$D),3,FALSE)</f>
        <v>M2</v>
      </c>
      <c r="H699" s="17">
        <v>1.06</v>
      </c>
      <c r="I699" s="17">
        <f>IF(A699="COMPOSICAO",VLOOKUP("TOTAL - "&amp;B699,COMPOSICAO_AUX_2!$A:$J,10,FALSE),VLOOKUP(B699,I!$A:$D,4,FALSE))</f>
        <v>34.909999999999997</v>
      </c>
      <c r="J699" s="80">
        <f>TRUNC(H699*I699,2)</f>
        <v>37</v>
      </c>
      <c r="K699" s="81"/>
    </row>
    <row r="700" spans="1:13" ht="15" customHeight="1" x14ac:dyDescent="0.25">
      <c r="A700" s="16" t="s">
        <v>306</v>
      </c>
      <c r="B700" s="20">
        <v>1381</v>
      </c>
      <c r="C700" s="77" t="str">
        <f>VLOOKUP(B700,IF(A700="COMPOSICAO",S!$A:$D,I!$A:$D),2,FALSE)</f>
        <v>ARGAMASSA COLANTE AC I PARA CERAMICAS</v>
      </c>
      <c r="D700" s="77"/>
      <c r="E700" s="77"/>
      <c r="F700" s="77"/>
      <c r="G700" s="16" t="str">
        <f>VLOOKUP(B700,IF(A700="COMPOSICAO",S!$A:$D,I!$A:$D),3,FALSE)</f>
        <v>KG</v>
      </c>
      <c r="H700" s="17">
        <v>4.8600000000000003</v>
      </c>
      <c r="I700" s="17">
        <f>IF(A700="COMPOSICAO",VLOOKUP("TOTAL - "&amp;B700,COMPOSICAO_AUX_2!$A:$J,10,FALSE),VLOOKUP(B700,I!$A:$D,4,FALSE))</f>
        <v>0.56999999999999995</v>
      </c>
      <c r="J700" s="80">
        <f>TRUNC(H700*I700,2)</f>
        <v>2.77</v>
      </c>
      <c r="K700" s="81"/>
    </row>
    <row r="701" spans="1:13" ht="15" customHeight="1" x14ac:dyDescent="0.25">
      <c r="A701" s="16" t="s">
        <v>306</v>
      </c>
      <c r="B701" s="20">
        <v>34357</v>
      </c>
      <c r="C701" s="77" t="str">
        <f>VLOOKUP(B701,IF(A701="COMPOSICAO",S!$A:$D,I!$A:$D),2,FALSE)</f>
        <v>REJUNTE CIMENTICIO, QUALQUER COR</v>
      </c>
      <c r="D701" s="77"/>
      <c r="E701" s="77"/>
      <c r="F701" s="77"/>
      <c r="G701" s="16" t="str">
        <f>VLOOKUP(B701,IF(A701="COMPOSICAO",S!$A:$D,I!$A:$D),3,FALSE)</f>
        <v>KG</v>
      </c>
      <c r="H701" s="17">
        <v>0.24</v>
      </c>
      <c r="I701" s="17">
        <f>IF(A701="COMPOSICAO",VLOOKUP("TOTAL - "&amp;B701,COMPOSICAO_AUX_2!$A:$J,10,FALSE),VLOOKUP(B701,I!$A:$D,4,FALSE))</f>
        <v>3.34</v>
      </c>
      <c r="J701" s="80">
        <f>TRUNC(H701*I701,2)</f>
        <v>0.8</v>
      </c>
      <c r="K701" s="81"/>
    </row>
    <row r="702" spans="1:13" ht="30" customHeight="1" x14ac:dyDescent="0.25">
      <c r="A702" s="16" t="s">
        <v>302</v>
      </c>
      <c r="B702" s="20">
        <v>88256</v>
      </c>
      <c r="C702" s="77" t="str">
        <f>VLOOKUP(B702,IF(A702="COMPOSICAO",S!$A:$D,I!$A:$D),2,FALSE)</f>
        <v>AZULEJISTA OU LADRILHISTA COM ENCARGOS COMPLEMENTARES</v>
      </c>
      <c r="D702" s="77"/>
      <c r="E702" s="77"/>
      <c r="F702" s="77"/>
      <c r="G702" s="16" t="str">
        <f>VLOOKUP(B702,IF(A702="COMPOSICAO",S!$A:$D,I!$A:$D),3,FALSE)</f>
        <v>H</v>
      </c>
      <c r="H702" s="17">
        <v>0.43</v>
      </c>
      <c r="I702" s="17">
        <f>IF(A702="COMPOSICAO",VLOOKUP("TOTAL - "&amp;B702,COMPOSICAO_AUX_2!$A:$J,10,FALSE),VLOOKUP(B702,I!$A:$D,4,FALSE))</f>
        <v>23.259999999999998</v>
      </c>
      <c r="J702" s="80">
        <f>TRUNC(H702*I702,2)</f>
        <v>10</v>
      </c>
      <c r="K702" s="81"/>
    </row>
    <row r="703" spans="1:13" ht="15" customHeight="1" x14ac:dyDescent="0.25">
      <c r="A703" s="16" t="s">
        <v>302</v>
      </c>
      <c r="B703" s="20">
        <v>88316</v>
      </c>
      <c r="C703" s="77" t="str">
        <f>VLOOKUP(B703,IF(A703="COMPOSICAO",S!$A:$D,I!$A:$D),2,FALSE)</f>
        <v>SERVENTE COM ENCARGOS COMPLEMENTARES</v>
      </c>
      <c r="D703" s="77"/>
      <c r="E703" s="77"/>
      <c r="F703" s="77"/>
      <c r="G703" s="16" t="str">
        <f>VLOOKUP(B703,IF(A703="COMPOSICAO",S!$A:$D,I!$A:$D),3,FALSE)</f>
        <v>H</v>
      </c>
      <c r="H703" s="17">
        <v>0.2</v>
      </c>
      <c r="I703" s="17">
        <f>IF(A703="COMPOSICAO",VLOOKUP("TOTAL - "&amp;B703,COMPOSICAO_AUX_2!$A:$J,10,FALSE),VLOOKUP(B703,I!$A:$D,4,FALSE))</f>
        <v>15.35</v>
      </c>
      <c r="J703" s="80">
        <f>TRUNC(H703*I703,2)</f>
        <v>3.07</v>
      </c>
      <c r="K703" s="81"/>
    </row>
    <row r="704" spans="1:13" ht="15" customHeight="1" x14ac:dyDescent="0.25">
      <c r="A704" s="23" t="s">
        <v>613</v>
      </c>
      <c r="B704" s="24"/>
      <c r="C704" s="24"/>
      <c r="D704" s="24"/>
      <c r="E704" s="24"/>
      <c r="F704" s="24"/>
      <c r="G704" s="25"/>
      <c r="H704" s="26"/>
      <c r="I704" s="27"/>
      <c r="J704" s="80">
        <f>SUM(J698:K703)</f>
        <v>53.64</v>
      </c>
      <c r="K704" s="81"/>
    </row>
    <row r="705" spans="1:13" ht="15" customHeight="1" x14ac:dyDescent="0.25">
      <c r="A705" s="3"/>
      <c r="B705" s="3"/>
      <c r="C705" s="3"/>
      <c r="D705" s="3"/>
      <c r="E705" s="3"/>
      <c r="F705" s="3"/>
      <c r="G705" s="3"/>
      <c r="H705" s="3"/>
      <c r="I705" s="3"/>
      <c r="J705" s="3"/>
      <c r="K705" s="3"/>
    </row>
    <row r="706" spans="1:13" ht="15" customHeight="1" x14ac:dyDescent="0.25">
      <c r="A706" s="10" t="s">
        <v>295</v>
      </c>
      <c r="B706" s="10" t="s">
        <v>31</v>
      </c>
      <c r="C706" s="82" t="s">
        <v>7</v>
      </c>
      <c r="D706" s="83"/>
      <c r="E706" s="83"/>
      <c r="F706" s="83"/>
      <c r="G706" s="6" t="s">
        <v>32</v>
      </c>
      <c r="H706" s="6" t="s">
        <v>296</v>
      </c>
      <c r="I706" s="6" t="s">
        <v>297</v>
      </c>
      <c r="J706" s="57" t="s">
        <v>9</v>
      </c>
      <c r="K706" s="58"/>
    </row>
    <row r="707" spans="1:13" ht="60" customHeight="1" x14ac:dyDescent="0.25">
      <c r="A707" s="6" t="s">
        <v>376</v>
      </c>
      <c r="B707" s="28">
        <v>87248</v>
      </c>
      <c r="C707" s="91" t="str">
        <f>VLOOKUP(B707,S!$A:$D,2,FALSE)</f>
        <v>REVESTIMENTO CERÂMICO PARA PISO COM PLACAS TIPO ESMALTADA EXTRA DE DIMENSÕES 35X35 CM APLICADA EM AMBIENTES DE ÁREA MAIOR QUE 10 M2. AF_06/2014</v>
      </c>
      <c r="D707" s="91"/>
      <c r="E707" s="91"/>
      <c r="F707" s="92"/>
      <c r="G707" s="6" t="str">
        <f>VLOOKUP(B707,S!$A:$D,3,FALSE)</f>
        <v>M2</v>
      </c>
      <c r="H707" s="21"/>
      <c r="I707" s="21">
        <f>J713</f>
        <v>48.449999999999996</v>
      </c>
      <c r="J707" s="76"/>
      <c r="K707" s="72"/>
      <c r="L707" s="21">
        <f>VLOOKUP(B707,S!$A:$D,4,FALSE)</f>
        <v>48.45</v>
      </c>
      <c r="M707" s="6" t="str">
        <f>IF(ROUND((L707-I707),2)=0,"OK, confere com a tabela.",IF(ROUND((L707-I707),2)&lt;0,"ACIMA ("&amp;TEXT(ROUND(I707*100/L707,4),"0,0000")&amp;" %) da tabela.","ABAIXO ("&amp;TEXT(ROUND(I707*100/L707,4),"0,0000")&amp;" %) da tabela."))</f>
        <v>OK, confere com a tabela.</v>
      </c>
    </row>
    <row r="708" spans="1:13" ht="45" customHeight="1" x14ac:dyDescent="0.25">
      <c r="A708" s="16" t="s">
        <v>306</v>
      </c>
      <c r="B708" s="20">
        <v>1287</v>
      </c>
      <c r="C708" s="77" t="str">
        <f>VLOOKUP(B708,IF(A708="COMPOSICAO",S!$A:$D,I!$A:$D),2,FALSE)</f>
        <v>PISO EM CERAMICA ESMALTADA EXTRA, PEI MAIOR OU IGUAL A 4, FORMATO MENOR OU IGUAL A 2025 CM2</v>
      </c>
      <c r="D708" s="77"/>
      <c r="E708" s="77"/>
      <c r="F708" s="77"/>
      <c r="G708" s="16" t="str">
        <f>VLOOKUP(B708,IF(A708="COMPOSICAO",S!$A:$D,I!$A:$D),3,FALSE)</f>
        <v>M2</v>
      </c>
      <c r="H708" s="17">
        <v>1.06</v>
      </c>
      <c r="I708" s="17">
        <f>IF(A708="COMPOSICAO",VLOOKUP("TOTAL - "&amp;B708,COMPOSICAO_AUX_2!$A:$J,10,FALSE),VLOOKUP(B708,I!$A:$D,4,FALSE))</f>
        <v>34.909999999999997</v>
      </c>
      <c r="J708" s="80">
        <f>TRUNC(H708*I708,2)</f>
        <v>37</v>
      </c>
      <c r="K708" s="81"/>
    </row>
    <row r="709" spans="1:13" ht="15" customHeight="1" x14ac:dyDescent="0.25">
      <c r="A709" s="16" t="s">
        <v>306</v>
      </c>
      <c r="B709" s="20">
        <v>1381</v>
      </c>
      <c r="C709" s="77" t="str">
        <f>VLOOKUP(B709,IF(A709="COMPOSICAO",S!$A:$D,I!$A:$D),2,FALSE)</f>
        <v>ARGAMASSA COLANTE AC I PARA CERAMICAS</v>
      </c>
      <c r="D709" s="77"/>
      <c r="E709" s="77"/>
      <c r="F709" s="77"/>
      <c r="G709" s="16" t="str">
        <f>VLOOKUP(B709,IF(A709="COMPOSICAO",S!$A:$D,I!$A:$D),3,FALSE)</f>
        <v>KG</v>
      </c>
      <c r="H709" s="17">
        <v>4.8600000000000003</v>
      </c>
      <c r="I709" s="17">
        <f>IF(A709="COMPOSICAO",VLOOKUP("TOTAL - "&amp;B709,COMPOSICAO_AUX_2!$A:$J,10,FALSE),VLOOKUP(B709,I!$A:$D,4,FALSE))</f>
        <v>0.56999999999999995</v>
      </c>
      <c r="J709" s="80">
        <f>TRUNC(H709*I709,2)</f>
        <v>2.77</v>
      </c>
      <c r="K709" s="81"/>
    </row>
    <row r="710" spans="1:13" ht="15" customHeight="1" x14ac:dyDescent="0.25">
      <c r="A710" s="16" t="s">
        <v>306</v>
      </c>
      <c r="B710" s="20">
        <v>34357</v>
      </c>
      <c r="C710" s="77" t="str">
        <f>VLOOKUP(B710,IF(A710="COMPOSICAO",S!$A:$D,I!$A:$D),2,FALSE)</f>
        <v>REJUNTE CIMENTICIO, QUALQUER COR</v>
      </c>
      <c r="D710" s="77"/>
      <c r="E710" s="77"/>
      <c r="F710" s="77"/>
      <c r="G710" s="16" t="str">
        <f>VLOOKUP(B710,IF(A710="COMPOSICAO",S!$A:$D,I!$A:$D),3,FALSE)</f>
        <v>KG</v>
      </c>
      <c r="H710" s="17">
        <v>0.24</v>
      </c>
      <c r="I710" s="17">
        <f>IF(A710="COMPOSICAO",VLOOKUP("TOTAL - "&amp;B710,COMPOSICAO_AUX_2!$A:$J,10,FALSE),VLOOKUP(B710,I!$A:$D,4,FALSE))</f>
        <v>3.34</v>
      </c>
      <c r="J710" s="80">
        <f>TRUNC(H710*I710,2)</f>
        <v>0.8</v>
      </c>
      <c r="K710" s="81"/>
    </row>
    <row r="711" spans="1:13" ht="30" customHeight="1" x14ac:dyDescent="0.25">
      <c r="A711" s="16" t="s">
        <v>302</v>
      </c>
      <c r="B711" s="20">
        <v>88256</v>
      </c>
      <c r="C711" s="77" t="str">
        <f>VLOOKUP(B711,IF(A711="COMPOSICAO",S!$A:$D,I!$A:$D),2,FALSE)</f>
        <v>AZULEJISTA OU LADRILHISTA COM ENCARGOS COMPLEMENTARES</v>
      </c>
      <c r="D711" s="77"/>
      <c r="E711" s="77"/>
      <c r="F711" s="77"/>
      <c r="G711" s="16" t="str">
        <f>VLOOKUP(B711,IF(A711="COMPOSICAO",S!$A:$D,I!$A:$D),3,FALSE)</f>
        <v>H</v>
      </c>
      <c r="H711" s="17">
        <v>0.24</v>
      </c>
      <c r="I711" s="17">
        <f>IF(A711="COMPOSICAO",VLOOKUP("TOTAL - "&amp;B711,COMPOSICAO_AUX_2!$A:$J,10,FALSE),VLOOKUP(B711,I!$A:$D,4,FALSE))</f>
        <v>23.259999999999998</v>
      </c>
      <c r="J711" s="80">
        <f>TRUNC(H711*I711,2)</f>
        <v>5.58</v>
      </c>
      <c r="K711" s="81"/>
    </row>
    <row r="712" spans="1:13" ht="15" customHeight="1" x14ac:dyDescent="0.25">
      <c r="A712" s="16" t="s">
        <v>302</v>
      </c>
      <c r="B712" s="20">
        <v>88316</v>
      </c>
      <c r="C712" s="77" t="str">
        <f>VLOOKUP(B712,IF(A712="COMPOSICAO",S!$A:$D,I!$A:$D),2,FALSE)</f>
        <v>SERVENTE COM ENCARGOS COMPLEMENTARES</v>
      </c>
      <c r="D712" s="77"/>
      <c r="E712" s="77"/>
      <c r="F712" s="77"/>
      <c r="G712" s="16" t="str">
        <f>VLOOKUP(B712,IF(A712="COMPOSICAO",S!$A:$D,I!$A:$D),3,FALSE)</f>
        <v>H</v>
      </c>
      <c r="H712" s="17">
        <v>0.15</v>
      </c>
      <c r="I712" s="17">
        <f>IF(A712="COMPOSICAO",VLOOKUP("TOTAL - "&amp;B712,COMPOSICAO_AUX_2!$A:$J,10,FALSE),VLOOKUP(B712,I!$A:$D,4,FALSE))</f>
        <v>15.35</v>
      </c>
      <c r="J712" s="80">
        <f>TRUNC(H712*I712,2)</f>
        <v>2.2999999999999998</v>
      </c>
      <c r="K712" s="81"/>
    </row>
    <row r="713" spans="1:13" ht="15" customHeight="1" x14ac:dyDescent="0.25">
      <c r="A713" s="23" t="s">
        <v>614</v>
      </c>
      <c r="B713" s="24"/>
      <c r="C713" s="24"/>
      <c r="D713" s="24"/>
      <c r="E713" s="24"/>
      <c r="F713" s="24"/>
      <c r="G713" s="25"/>
      <c r="H713" s="26"/>
      <c r="I713" s="27"/>
      <c r="J713" s="80">
        <f>SUM(J707:K712)</f>
        <v>48.449999999999996</v>
      </c>
      <c r="K713" s="81"/>
    </row>
    <row r="714" spans="1:13" ht="15" customHeight="1" x14ac:dyDescent="0.25">
      <c r="A714" s="3"/>
      <c r="B714" s="3"/>
      <c r="C714" s="3"/>
      <c r="D714" s="3"/>
      <c r="E714" s="3"/>
      <c r="F714" s="3"/>
      <c r="G714" s="3"/>
      <c r="H714" s="3"/>
      <c r="I714" s="3"/>
      <c r="J714" s="3"/>
      <c r="K714" s="3"/>
    </row>
    <row r="715" spans="1:13" ht="15" customHeight="1" x14ac:dyDescent="0.25">
      <c r="A715" s="10" t="s">
        <v>295</v>
      </c>
      <c r="B715" s="10" t="s">
        <v>31</v>
      </c>
      <c r="C715" s="82" t="s">
        <v>7</v>
      </c>
      <c r="D715" s="83"/>
      <c r="E715" s="83"/>
      <c r="F715" s="83"/>
      <c r="G715" s="6" t="s">
        <v>32</v>
      </c>
      <c r="H715" s="6" t="s">
        <v>296</v>
      </c>
      <c r="I715" s="6" t="s">
        <v>297</v>
      </c>
      <c r="J715" s="57" t="s">
        <v>9</v>
      </c>
      <c r="K715" s="58"/>
    </row>
    <row r="716" spans="1:13" ht="30" customHeight="1" x14ac:dyDescent="0.25">
      <c r="A716" s="6" t="s">
        <v>502</v>
      </c>
      <c r="B716" s="28">
        <v>88278</v>
      </c>
      <c r="C716" s="91" t="str">
        <f>VLOOKUP(B716,S!$A:$D,2,FALSE)</f>
        <v>MONTADOR DE ESTRUTURA METÁLICA COM ENCARGOS COMPLEMENTARES</v>
      </c>
      <c r="D716" s="91"/>
      <c r="E716" s="91"/>
      <c r="F716" s="92"/>
      <c r="G716" s="6" t="str">
        <f>VLOOKUP(B716,S!$A:$D,3,FALSE)</f>
        <v>H</v>
      </c>
      <c r="H716" s="21"/>
      <c r="I716" s="21">
        <f>J725</f>
        <v>20.759999999999998</v>
      </c>
      <c r="J716" s="76"/>
      <c r="K716" s="72"/>
      <c r="L716" s="21">
        <f>VLOOKUP(B716,S!$A:$D,4,FALSE)</f>
        <v>20.76</v>
      </c>
      <c r="M716" s="6" t="str">
        <f>IF(ROUND((L716-I716),2)=0,"OK, confere com a tabela.",IF(ROUND((L716-I716),2)&lt;0,"ACIMA ("&amp;TEXT(ROUND(I716*100/L716,4),"0,0000")&amp;" %) da tabela.","ABAIXO ("&amp;TEXT(ROUND(I716*100/L716,4),"0,0000")&amp;" %) da tabela."))</f>
        <v>OK, confere com a tabela.</v>
      </c>
    </row>
    <row r="717" spans="1:13" ht="15" customHeight="1" x14ac:dyDescent="0.25">
      <c r="A717" s="16" t="s">
        <v>306</v>
      </c>
      <c r="B717" s="20">
        <v>25957</v>
      </c>
      <c r="C717" s="77" t="str">
        <f>VLOOKUP(B717,IF(A717="COMPOSICAO",S!$A:$D,I!$A:$D),2,FALSE)</f>
        <v>MONTADOR DE ESTRUTURAS METALICAS</v>
      </c>
      <c r="D717" s="77"/>
      <c r="E717" s="77"/>
      <c r="F717" s="77"/>
      <c r="G717" s="16" t="str">
        <f>VLOOKUP(B717,IF(A717="COMPOSICAO",S!$A:$D,I!$A:$D),3,FALSE)</f>
        <v>H</v>
      </c>
      <c r="H717" s="17">
        <v>1</v>
      </c>
      <c r="I717" s="17">
        <f>IF(A717="COMPOSICAO",VLOOKUP("TOTAL - "&amp;B717,COMPOSICAO_AUX_2!$A:$J,10,FALSE),VLOOKUP(B717,I!$A:$D,4,FALSE))</f>
        <v>16.82</v>
      </c>
      <c r="J717" s="80">
        <f t="shared" ref="J717:J724" si="30">TRUNC(H717*I717,2)</f>
        <v>16.82</v>
      </c>
      <c r="K717" s="81"/>
    </row>
    <row r="718" spans="1:13" ht="15" customHeight="1" x14ac:dyDescent="0.25">
      <c r="A718" s="16" t="s">
        <v>306</v>
      </c>
      <c r="B718" s="20">
        <v>37370</v>
      </c>
      <c r="C718" s="77" t="str">
        <f>VLOOKUP(B718,IF(A718="COMPOSICAO",S!$A:$D,I!$A:$D),2,FALSE)</f>
        <v>ALIMENTACAO - HORISTA (COLETADO CAIXA)</v>
      </c>
      <c r="D718" s="77"/>
      <c r="E718" s="77"/>
      <c r="F718" s="77"/>
      <c r="G718" s="16" t="str">
        <f>VLOOKUP(B718,IF(A718="COMPOSICAO",S!$A:$D,I!$A:$D),3,FALSE)</f>
        <v>H</v>
      </c>
      <c r="H718" s="17">
        <v>1</v>
      </c>
      <c r="I718" s="17">
        <f>IF(A718="COMPOSICAO",VLOOKUP("TOTAL - "&amp;B718,COMPOSICAO_AUX_2!$A:$J,10,FALSE),VLOOKUP(B718,I!$A:$D,4,FALSE))</f>
        <v>1.86</v>
      </c>
      <c r="J718" s="80">
        <f t="shared" si="30"/>
        <v>1.86</v>
      </c>
      <c r="K718" s="81"/>
    </row>
    <row r="719" spans="1:13" ht="15" customHeight="1" x14ac:dyDescent="0.25">
      <c r="A719" s="16" t="s">
        <v>306</v>
      </c>
      <c r="B719" s="20">
        <v>37371</v>
      </c>
      <c r="C719" s="77" t="str">
        <f>VLOOKUP(B719,IF(A719="COMPOSICAO",S!$A:$D,I!$A:$D),2,FALSE)</f>
        <v>TRANSPORTE - HORISTA (COLETADO CAIXA)</v>
      </c>
      <c r="D719" s="77"/>
      <c r="E719" s="77"/>
      <c r="F719" s="77"/>
      <c r="G719" s="16" t="str">
        <f>VLOOKUP(B719,IF(A719="COMPOSICAO",S!$A:$D,I!$A:$D),3,FALSE)</f>
        <v>H</v>
      </c>
      <c r="H719" s="17">
        <v>1</v>
      </c>
      <c r="I719" s="17">
        <f>IF(A719="COMPOSICAO",VLOOKUP("TOTAL - "&amp;B719,COMPOSICAO_AUX_2!$A:$J,10,FALSE),VLOOKUP(B719,I!$A:$D,4,FALSE))</f>
        <v>0.7</v>
      </c>
      <c r="J719" s="80">
        <f t="shared" si="30"/>
        <v>0.7</v>
      </c>
      <c r="K719" s="81"/>
    </row>
    <row r="720" spans="1:13" ht="15" customHeight="1" x14ac:dyDescent="0.25">
      <c r="A720" s="16" t="s">
        <v>306</v>
      </c>
      <c r="B720" s="20">
        <v>37372</v>
      </c>
      <c r="C720" s="77" t="str">
        <f>VLOOKUP(B720,IF(A720="COMPOSICAO",S!$A:$D,I!$A:$D),2,FALSE)</f>
        <v>EXAMES - HORISTA (COLETADO CAIXA)</v>
      </c>
      <c r="D720" s="77"/>
      <c r="E720" s="77"/>
      <c r="F720" s="77"/>
      <c r="G720" s="16" t="str">
        <f>VLOOKUP(B720,IF(A720="COMPOSICAO",S!$A:$D,I!$A:$D),3,FALSE)</f>
        <v>H</v>
      </c>
      <c r="H720" s="17">
        <v>1</v>
      </c>
      <c r="I720" s="17">
        <f>IF(A720="COMPOSICAO",VLOOKUP("TOTAL - "&amp;B720,COMPOSICAO_AUX_2!$A:$J,10,FALSE),VLOOKUP(B720,I!$A:$D,4,FALSE))</f>
        <v>0.55000000000000004</v>
      </c>
      <c r="J720" s="80">
        <f t="shared" si="30"/>
        <v>0.55000000000000004</v>
      </c>
      <c r="K720" s="81"/>
    </row>
    <row r="721" spans="1:13" ht="15" customHeight="1" x14ac:dyDescent="0.25">
      <c r="A721" s="16" t="s">
        <v>306</v>
      </c>
      <c r="B721" s="20">
        <v>37373</v>
      </c>
      <c r="C721" s="77" t="str">
        <f>VLOOKUP(B721,IF(A721="COMPOSICAO",S!$A:$D,I!$A:$D),2,FALSE)</f>
        <v>SEGURO - HORISTA (COLETADO CAIXA)</v>
      </c>
      <c r="D721" s="77"/>
      <c r="E721" s="77"/>
      <c r="F721" s="77"/>
      <c r="G721" s="16" t="str">
        <f>VLOOKUP(B721,IF(A721="COMPOSICAO",S!$A:$D,I!$A:$D),3,FALSE)</f>
        <v>H</v>
      </c>
      <c r="H721" s="17">
        <v>1</v>
      </c>
      <c r="I721" s="17">
        <f>IF(A721="COMPOSICAO",VLOOKUP("TOTAL - "&amp;B721,COMPOSICAO_AUX_2!$A:$J,10,FALSE),VLOOKUP(B721,I!$A:$D,4,FALSE))</f>
        <v>0.06</v>
      </c>
      <c r="J721" s="80">
        <f t="shared" si="30"/>
        <v>0.06</v>
      </c>
      <c r="K721" s="81"/>
    </row>
    <row r="722" spans="1:13" ht="45" customHeight="1" x14ac:dyDescent="0.25">
      <c r="A722" s="16" t="s">
        <v>306</v>
      </c>
      <c r="B722" s="20">
        <v>43464</v>
      </c>
      <c r="C722" s="77" t="str">
        <f>VLOOKUP(B722,IF(A722="COMPOSICAO",S!$A:$D,I!$A:$D),2,FALSE)</f>
        <v>FERRAMENTAS - FAMILIA OPERADOR ESCAVADEIRA - HORISTA (ENCARGOS COMPLEMENTARES - COLETADO CAIXA)</v>
      </c>
      <c r="D722" s="77"/>
      <c r="E722" s="77"/>
      <c r="F722" s="77"/>
      <c r="G722" s="16" t="str">
        <f>VLOOKUP(B722,IF(A722="COMPOSICAO",S!$A:$D,I!$A:$D),3,FALSE)</f>
        <v>H</v>
      </c>
      <c r="H722" s="17">
        <v>1</v>
      </c>
      <c r="I722" s="17">
        <f>IF(A722="COMPOSICAO",VLOOKUP("TOTAL - "&amp;B722,COMPOSICAO_AUX_2!$A:$J,10,FALSE),VLOOKUP(B722,I!$A:$D,4,FALSE))</f>
        <v>0.01</v>
      </c>
      <c r="J722" s="80">
        <f t="shared" si="30"/>
        <v>0.01</v>
      </c>
      <c r="K722" s="81"/>
    </row>
    <row r="723" spans="1:13" ht="30" customHeight="1" x14ac:dyDescent="0.25">
      <c r="A723" s="16" t="s">
        <v>306</v>
      </c>
      <c r="B723" s="20">
        <v>43488</v>
      </c>
      <c r="C723" s="77" t="str">
        <f>VLOOKUP(B723,IF(A723="COMPOSICAO",S!$A:$D,I!$A:$D),2,FALSE)</f>
        <v>EPI - FAMILIA OPERADOR ESCAVADEIRA - HORISTA (ENCARGOS COMPLEMENTARES - COLETADO CAIXA)</v>
      </c>
      <c r="D723" s="77"/>
      <c r="E723" s="77"/>
      <c r="F723" s="77"/>
      <c r="G723" s="16" t="str">
        <f>VLOOKUP(B723,IF(A723="COMPOSICAO",S!$A:$D,I!$A:$D),3,FALSE)</f>
        <v>H</v>
      </c>
      <c r="H723" s="17">
        <v>1</v>
      </c>
      <c r="I723" s="17">
        <f>IF(A723="COMPOSICAO",VLOOKUP("TOTAL - "&amp;B723,COMPOSICAO_AUX_2!$A:$J,10,FALSE),VLOOKUP(B723,I!$A:$D,4,FALSE))</f>
        <v>0.63</v>
      </c>
      <c r="J723" s="80">
        <f t="shared" si="30"/>
        <v>0.63</v>
      </c>
      <c r="K723" s="81"/>
    </row>
    <row r="724" spans="1:13" ht="45" customHeight="1" x14ac:dyDescent="0.25">
      <c r="A724" s="16" t="s">
        <v>302</v>
      </c>
      <c r="B724" s="20">
        <v>95344</v>
      </c>
      <c r="C724" s="77" t="str">
        <f>VLOOKUP(B724,IF(A724="COMPOSICAO",S!$A:$D,I!$A:$D),2,FALSE)</f>
        <v>CURSO DE CAPACITAÇÃO PARA MONTADOR DE ESTRUTURA METÁLICA (ENCARGOS COMPLEMENTARES) - HORISTA</v>
      </c>
      <c r="D724" s="77"/>
      <c r="E724" s="77"/>
      <c r="F724" s="77"/>
      <c r="G724" s="16" t="str">
        <f>VLOOKUP(B724,IF(A724="COMPOSICAO",S!$A:$D,I!$A:$D),3,FALSE)</f>
        <v>H</v>
      </c>
      <c r="H724" s="17">
        <v>1</v>
      </c>
      <c r="I724" s="17">
        <f>IF(A724="COMPOSICAO",VLOOKUP("TOTAL - "&amp;B724,COMPOSICAO_AUX_2!$A:$J,10,FALSE),VLOOKUP(B724,I!$A:$D,4,FALSE))</f>
        <v>0.13</v>
      </c>
      <c r="J724" s="80">
        <f t="shared" si="30"/>
        <v>0.13</v>
      </c>
      <c r="K724" s="81"/>
    </row>
    <row r="725" spans="1:13" ht="15" customHeight="1" x14ac:dyDescent="0.25">
      <c r="A725" s="23" t="s">
        <v>615</v>
      </c>
      <c r="B725" s="24"/>
      <c r="C725" s="24"/>
      <c r="D725" s="24"/>
      <c r="E725" s="24"/>
      <c r="F725" s="24"/>
      <c r="G725" s="25"/>
      <c r="H725" s="26"/>
      <c r="I725" s="27"/>
      <c r="J725" s="80">
        <f>SUM(J716:K724)</f>
        <v>20.759999999999998</v>
      </c>
      <c r="K725" s="81"/>
    </row>
    <row r="726" spans="1:13" ht="15" customHeight="1" x14ac:dyDescent="0.25">
      <c r="A726" s="3"/>
      <c r="B726" s="3"/>
      <c r="C726" s="3"/>
      <c r="D726" s="3"/>
      <c r="E726" s="3"/>
      <c r="F726" s="3"/>
      <c r="G726" s="3"/>
      <c r="H726" s="3"/>
      <c r="I726" s="3"/>
      <c r="J726" s="3"/>
      <c r="K726" s="3"/>
    </row>
    <row r="727" spans="1:13" ht="15" customHeight="1" x14ac:dyDescent="0.25">
      <c r="A727" s="10" t="s">
        <v>295</v>
      </c>
      <c r="B727" s="10" t="s">
        <v>31</v>
      </c>
      <c r="C727" s="82" t="s">
        <v>7</v>
      </c>
      <c r="D727" s="83"/>
      <c r="E727" s="83"/>
      <c r="F727" s="83"/>
      <c r="G727" s="6" t="s">
        <v>32</v>
      </c>
      <c r="H727" s="6" t="s">
        <v>296</v>
      </c>
      <c r="I727" s="6" t="s">
        <v>297</v>
      </c>
      <c r="J727" s="57" t="s">
        <v>9</v>
      </c>
      <c r="K727" s="58"/>
    </row>
    <row r="728" spans="1:13" ht="30" customHeight="1" x14ac:dyDescent="0.25">
      <c r="A728" s="6" t="s">
        <v>502</v>
      </c>
      <c r="B728" s="28">
        <v>88274</v>
      </c>
      <c r="C728" s="91" t="str">
        <f>VLOOKUP(B728,S!$A:$D,2,FALSE)</f>
        <v>MARMORISTA/GRANITEIRO COM ENCARGOS COMPLEMENTARES</v>
      </c>
      <c r="D728" s="91"/>
      <c r="E728" s="91"/>
      <c r="F728" s="92"/>
      <c r="G728" s="6" t="str">
        <f>VLOOKUP(B728,S!$A:$D,3,FALSE)</f>
        <v>H</v>
      </c>
      <c r="H728" s="21"/>
      <c r="I728" s="21">
        <f>J737</f>
        <v>22.059999999999995</v>
      </c>
      <c r="J728" s="76"/>
      <c r="K728" s="72"/>
      <c r="L728" s="21">
        <f>VLOOKUP(B728,S!$A:$D,4,FALSE)</f>
        <v>22.06</v>
      </c>
      <c r="M728" s="6" t="str">
        <f>IF(ROUND((L728-I728),2)=0,"OK, confere com a tabela.",IF(ROUND((L728-I728),2)&lt;0,"ACIMA ("&amp;TEXT(ROUND(I728*100/L728,4),"0,0000")&amp;" %) da tabela.","ABAIXO ("&amp;TEXT(ROUND(I728*100/L728,4),"0,0000")&amp;" %) da tabela."))</f>
        <v>OK, confere com a tabela.</v>
      </c>
    </row>
    <row r="729" spans="1:13" ht="15" customHeight="1" x14ac:dyDescent="0.25">
      <c r="A729" s="16" t="s">
        <v>306</v>
      </c>
      <c r="B729" s="20">
        <v>4755</v>
      </c>
      <c r="C729" s="77" t="str">
        <f>VLOOKUP(B729,IF(A729="COMPOSICAO",S!$A:$D,I!$A:$D),2,FALSE)</f>
        <v>MARMORISTA / GRANITEIRO</v>
      </c>
      <c r="D729" s="77"/>
      <c r="E729" s="77"/>
      <c r="F729" s="77"/>
      <c r="G729" s="16" t="str">
        <f>VLOOKUP(B729,IF(A729="COMPOSICAO",S!$A:$D,I!$A:$D),3,FALSE)</f>
        <v>H</v>
      </c>
      <c r="H729" s="17">
        <v>1</v>
      </c>
      <c r="I729" s="17">
        <f>IF(A729="COMPOSICAO",VLOOKUP("TOTAL - "&amp;B729,COMPOSICAO_AUX_2!$A:$J,10,FALSE),VLOOKUP(B729,I!$A:$D,4,FALSE))</f>
        <v>17.18</v>
      </c>
      <c r="J729" s="80">
        <f t="shared" ref="J729:J736" si="31">TRUNC(H729*I729,2)</f>
        <v>17.18</v>
      </c>
      <c r="K729" s="81"/>
    </row>
    <row r="730" spans="1:13" ht="15" customHeight="1" x14ac:dyDescent="0.25">
      <c r="A730" s="16" t="s">
        <v>306</v>
      </c>
      <c r="B730" s="20">
        <v>37370</v>
      </c>
      <c r="C730" s="77" t="str">
        <f>VLOOKUP(B730,IF(A730="COMPOSICAO",S!$A:$D,I!$A:$D),2,FALSE)</f>
        <v>ALIMENTACAO - HORISTA (COLETADO CAIXA)</v>
      </c>
      <c r="D730" s="77"/>
      <c r="E730" s="77"/>
      <c r="F730" s="77"/>
      <c r="G730" s="16" t="str">
        <f>VLOOKUP(B730,IF(A730="COMPOSICAO",S!$A:$D,I!$A:$D),3,FALSE)</f>
        <v>H</v>
      </c>
      <c r="H730" s="17">
        <v>1</v>
      </c>
      <c r="I730" s="17">
        <f>IF(A730="COMPOSICAO",VLOOKUP("TOTAL - "&amp;B730,COMPOSICAO_AUX_2!$A:$J,10,FALSE),VLOOKUP(B730,I!$A:$D,4,FALSE))</f>
        <v>1.86</v>
      </c>
      <c r="J730" s="80">
        <f t="shared" si="31"/>
        <v>1.86</v>
      </c>
      <c r="K730" s="81"/>
    </row>
    <row r="731" spans="1:13" ht="15" customHeight="1" x14ac:dyDescent="0.25">
      <c r="A731" s="16" t="s">
        <v>306</v>
      </c>
      <c r="B731" s="20">
        <v>37371</v>
      </c>
      <c r="C731" s="77" t="str">
        <f>VLOOKUP(B731,IF(A731="COMPOSICAO",S!$A:$D,I!$A:$D),2,FALSE)</f>
        <v>TRANSPORTE - HORISTA (COLETADO CAIXA)</v>
      </c>
      <c r="D731" s="77"/>
      <c r="E731" s="77"/>
      <c r="F731" s="77"/>
      <c r="G731" s="16" t="str">
        <f>VLOOKUP(B731,IF(A731="COMPOSICAO",S!$A:$D,I!$A:$D),3,FALSE)</f>
        <v>H</v>
      </c>
      <c r="H731" s="17">
        <v>1</v>
      </c>
      <c r="I731" s="17">
        <f>IF(A731="COMPOSICAO",VLOOKUP("TOTAL - "&amp;B731,COMPOSICAO_AUX_2!$A:$J,10,FALSE),VLOOKUP(B731,I!$A:$D,4,FALSE))</f>
        <v>0.7</v>
      </c>
      <c r="J731" s="80">
        <f t="shared" si="31"/>
        <v>0.7</v>
      </c>
      <c r="K731" s="81"/>
    </row>
    <row r="732" spans="1:13" ht="15" customHeight="1" x14ac:dyDescent="0.25">
      <c r="A732" s="16" t="s">
        <v>306</v>
      </c>
      <c r="B732" s="20">
        <v>37372</v>
      </c>
      <c r="C732" s="77" t="str">
        <f>VLOOKUP(B732,IF(A732="COMPOSICAO",S!$A:$D,I!$A:$D),2,FALSE)</f>
        <v>EXAMES - HORISTA (COLETADO CAIXA)</v>
      </c>
      <c r="D732" s="77"/>
      <c r="E732" s="77"/>
      <c r="F732" s="77"/>
      <c r="G732" s="16" t="str">
        <f>VLOOKUP(B732,IF(A732="COMPOSICAO",S!$A:$D,I!$A:$D),3,FALSE)</f>
        <v>H</v>
      </c>
      <c r="H732" s="17">
        <v>1</v>
      </c>
      <c r="I732" s="17">
        <f>IF(A732="COMPOSICAO",VLOOKUP("TOTAL - "&amp;B732,COMPOSICAO_AUX_2!$A:$J,10,FALSE),VLOOKUP(B732,I!$A:$D,4,FALSE))</f>
        <v>0.55000000000000004</v>
      </c>
      <c r="J732" s="80">
        <f t="shared" si="31"/>
        <v>0.55000000000000004</v>
      </c>
      <c r="K732" s="81"/>
    </row>
    <row r="733" spans="1:13" ht="15" customHeight="1" x14ac:dyDescent="0.25">
      <c r="A733" s="16" t="s">
        <v>306</v>
      </c>
      <c r="B733" s="20">
        <v>37373</v>
      </c>
      <c r="C733" s="77" t="str">
        <f>VLOOKUP(B733,IF(A733="COMPOSICAO",S!$A:$D,I!$A:$D),2,FALSE)</f>
        <v>SEGURO - HORISTA (COLETADO CAIXA)</v>
      </c>
      <c r="D733" s="77"/>
      <c r="E733" s="77"/>
      <c r="F733" s="77"/>
      <c r="G733" s="16" t="str">
        <f>VLOOKUP(B733,IF(A733="COMPOSICAO",S!$A:$D,I!$A:$D),3,FALSE)</f>
        <v>H</v>
      </c>
      <c r="H733" s="17">
        <v>1</v>
      </c>
      <c r="I733" s="17">
        <f>IF(A733="COMPOSICAO",VLOOKUP("TOTAL - "&amp;B733,COMPOSICAO_AUX_2!$A:$J,10,FALSE),VLOOKUP(B733,I!$A:$D,4,FALSE))</f>
        <v>0.06</v>
      </c>
      <c r="J733" s="80">
        <f t="shared" si="31"/>
        <v>0.06</v>
      </c>
      <c r="K733" s="81"/>
    </row>
    <row r="734" spans="1:13" ht="30" customHeight="1" x14ac:dyDescent="0.25">
      <c r="A734" s="16" t="s">
        <v>306</v>
      </c>
      <c r="B734" s="20">
        <v>43465</v>
      </c>
      <c r="C734" s="77" t="str">
        <f>VLOOKUP(B734,IF(A734="COMPOSICAO",S!$A:$D,I!$A:$D),2,FALSE)</f>
        <v>FERRAMENTAS - FAMILIA PEDREIRO - HORISTA (ENCARGOS COMPLEMENTARES - COLETADO CAIXA)</v>
      </c>
      <c r="D734" s="77"/>
      <c r="E734" s="77"/>
      <c r="F734" s="77"/>
      <c r="G734" s="16" t="str">
        <f>VLOOKUP(B734,IF(A734="COMPOSICAO",S!$A:$D,I!$A:$D),3,FALSE)</f>
        <v>H</v>
      </c>
      <c r="H734" s="17">
        <v>1</v>
      </c>
      <c r="I734" s="17">
        <f>IF(A734="COMPOSICAO",VLOOKUP("TOTAL - "&amp;B734,COMPOSICAO_AUX_2!$A:$J,10,FALSE),VLOOKUP(B734,I!$A:$D,4,FALSE))</f>
        <v>0.57999999999999996</v>
      </c>
      <c r="J734" s="80">
        <f t="shared" si="31"/>
        <v>0.57999999999999996</v>
      </c>
      <c r="K734" s="81"/>
    </row>
    <row r="735" spans="1:13" ht="30" customHeight="1" x14ac:dyDescent="0.25">
      <c r="A735" s="16" t="s">
        <v>306</v>
      </c>
      <c r="B735" s="20">
        <v>43489</v>
      </c>
      <c r="C735" s="77" t="str">
        <f>VLOOKUP(B735,IF(A735="COMPOSICAO",S!$A:$D,I!$A:$D),2,FALSE)</f>
        <v>EPI - FAMILIA PEDREIRO - HORISTA (ENCARGOS COMPLEMENTARES - COLETADO CAIXA)</v>
      </c>
      <c r="D735" s="77"/>
      <c r="E735" s="77"/>
      <c r="F735" s="77"/>
      <c r="G735" s="16" t="str">
        <f>VLOOKUP(B735,IF(A735="COMPOSICAO",S!$A:$D,I!$A:$D),3,FALSE)</f>
        <v>H</v>
      </c>
      <c r="H735" s="17">
        <v>1</v>
      </c>
      <c r="I735" s="17">
        <f>IF(A735="COMPOSICAO",VLOOKUP("TOTAL - "&amp;B735,COMPOSICAO_AUX_2!$A:$J,10,FALSE),VLOOKUP(B735,I!$A:$D,4,FALSE))</f>
        <v>0.95</v>
      </c>
      <c r="J735" s="80">
        <f t="shared" si="31"/>
        <v>0.95</v>
      </c>
      <c r="K735" s="81"/>
    </row>
    <row r="736" spans="1:13" ht="30" customHeight="1" x14ac:dyDescent="0.25">
      <c r="A736" s="16" t="s">
        <v>302</v>
      </c>
      <c r="B736" s="20">
        <v>95341</v>
      </c>
      <c r="C736" s="77" t="str">
        <f>VLOOKUP(B736,IF(A736="COMPOSICAO",S!$A:$D,I!$A:$D),2,FALSE)</f>
        <v>CURSO DE CAPACITAÇÃO PARA MARMORISTA/GRANITEIRO (ENCARGOS COMPLEMENTARES) - HORISTA</v>
      </c>
      <c r="D736" s="77"/>
      <c r="E736" s="77"/>
      <c r="F736" s="77"/>
      <c r="G736" s="16" t="str">
        <f>VLOOKUP(B736,IF(A736="COMPOSICAO",S!$A:$D,I!$A:$D),3,FALSE)</f>
        <v>H</v>
      </c>
      <c r="H736" s="17">
        <v>1</v>
      </c>
      <c r="I736" s="17">
        <f>IF(A736="COMPOSICAO",VLOOKUP("TOTAL - "&amp;B736,COMPOSICAO_AUX_2!$A:$J,10,FALSE),VLOOKUP(B736,I!$A:$D,4,FALSE))</f>
        <v>0.18</v>
      </c>
      <c r="J736" s="80">
        <f t="shared" si="31"/>
        <v>0.18</v>
      </c>
      <c r="K736" s="81"/>
    </row>
    <row r="737" spans="1:13" ht="15" customHeight="1" x14ac:dyDescent="0.25">
      <c r="A737" s="23" t="s">
        <v>616</v>
      </c>
      <c r="B737" s="24"/>
      <c r="C737" s="24"/>
      <c r="D737" s="24"/>
      <c r="E737" s="24"/>
      <c r="F737" s="24"/>
      <c r="G737" s="25"/>
      <c r="H737" s="26"/>
      <c r="I737" s="27"/>
      <c r="J737" s="80">
        <f>SUM(J728:K736)</f>
        <v>22.059999999999995</v>
      </c>
      <c r="K737" s="81"/>
    </row>
    <row r="738" spans="1:13" ht="15" customHeight="1" x14ac:dyDescent="0.25">
      <c r="A738" s="3"/>
      <c r="B738" s="3"/>
      <c r="C738" s="3"/>
      <c r="D738" s="3"/>
      <c r="E738" s="3"/>
      <c r="F738" s="3"/>
      <c r="G738" s="3"/>
      <c r="H738" s="3"/>
      <c r="I738" s="3"/>
      <c r="J738" s="3"/>
      <c r="K738" s="3"/>
    </row>
    <row r="739" spans="1:13" ht="15" customHeight="1" x14ac:dyDescent="0.25">
      <c r="A739" s="10" t="s">
        <v>295</v>
      </c>
      <c r="B739" s="10" t="s">
        <v>31</v>
      </c>
      <c r="C739" s="82" t="s">
        <v>7</v>
      </c>
      <c r="D739" s="83"/>
      <c r="E739" s="83"/>
      <c r="F739" s="83"/>
      <c r="G739" s="6" t="s">
        <v>32</v>
      </c>
      <c r="H739" s="6" t="s">
        <v>296</v>
      </c>
      <c r="I739" s="6" t="s">
        <v>297</v>
      </c>
      <c r="J739" s="57" t="s">
        <v>9</v>
      </c>
      <c r="K739" s="58"/>
    </row>
    <row r="740" spans="1:13" ht="15" customHeight="1" x14ac:dyDescent="0.25">
      <c r="A740" s="6" t="s">
        <v>11</v>
      </c>
      <c r="B740" s="6" t="s">
        <v>383</v>
      </c>
      <c r="C740" s="91" t="str">
        <f>VLOOKUP(B740,S!$A:$D,2,FALSE)</f>
        <v>ENCARGOS COMPLEMENTARES - PEDREIRO</v>
      </c>
      <c r="D740" s="91"/>
      <c r="E740" s="91"/>
      <c r="F740" s="92"/>
      <c r="G740" s="6" t="str">
        <f>VLOOKUP(B740,S!$A:$D,3,FALSE)</f>
        <v>H</v>
      </c>
      <c r="H740" s="21"/>
      <c r="I740" s="21">
        <f>J766</f>
        <v>2.8000000000000003</v>
      </c>
      <c r="J740" s="76"/>
      <c r="K740" s="72"/>
      <c r="L740" s="21">
        <f>VLOOKUP(B740,S!$A:$D,4,FALSE)</f>
        <v>2.89</v>
      </c>
      <c r="M740" s="6" t="str">
        <f>IF(ROUND((L740-I740),2)=0,"OK, confere com a tabela.",IF(ROUND((L740-I740),2)&lt;0,"ACIMA ("&amp;TEXT(ROUND(I740*100/L740,4),"0,0000")&amp;" %) da tabela.","ABAIXO ("&amp;TEXT(ROUND(I740*100/L740,4),"0,0000")&amp;" %) da tabela."))</f>
        <v>ABAIXO (96,8858 %) da tabela.</v>
      </c>
    </row>
    <row r="741" spans="1:13" ht="15" customHeight="1" x14ac:dyDescent="0.25">
      <c r="A741" s="16" t="s">
        <v>306</v>
      </c>
      <c r="B741" s="16" t="s">
        <v>519</v>
      </c>
      <c r="C741" s="77" t="str">
        <f>VLOOKUP(B741,IF(A741="COMPOSICAO",S!$A:$D,I!$A:$D),2,FALSE)</f>
        <v>ALMOÇO (PARTICIPAÇÃO DO EMPREGADOR)</v>
      </c>
      <c r="D741" s="77"/>
      <c r="E741" s="77"/>
      <c r="F741" s="77"/>
      <c r="G741" s="16" t="str">
        <f>VLOOKUP(B741,IF(A741="COMPOSICAO",S!$A:$D,I!$A:$D),3,FALSE)</f>
        <v>UN</v>
      </c>
      <c r="H741" s="29">
        <v>0.1018</v>
      </c>
      <c r="I741" s="17">
        <f>IF(A741="COMPOSICAO",VLOOKUP("TOTAL - "&amp;B741,COMPOSICAO_AUX_2!$A:$J,10,FALSE),VLOOKUP(B741,I!$A:$D,4,FALSE))</f>
        <v>10</v>
      </c>
      <c r="J741" s="80">
        <f t="shared" ref="J741:J765" si="32">TRUNC(H741*I741,2)</f>
        <v>1.01</v>
      </c>
      <c r="K741" s="81"/>
    </row>
    <row r="742" spans="1:13" ht="15" customHeight="1" x14ac:dyDescent="0.25">
      <c r="A742" s="16" t="s">
        <v>306</v>
      </c>
      <c r="B742" s="16" t="s">
        <v>520</v>
      </c>
      <c r="C742" s="77" t="str">
        <f>VLOOKUP(B742,IF(A742="COMPOSICAO",S!$A:$D,I!$A:$D),2,FALSE)</f>
        <v>FARDAMENTO</v>
      </c>
      <c r="D742" s="77"/>
      <c r="E742" s="77"/>
      <c r="F742" s="77"/>
      <c r="G742" s="16" t="str">
        <f>VLOOKUP(B742,IF(A742="COMPOSICAO",S!$A:$D,I!$A:$D),3,FALSE)</f>
        <v>UN</v>
      </c>
      <c r="H742" s="29">
        <v>1.5E-3</v>
      </c>
      <c r="I742" s="17">
        <f>IF(A742="COMPOSICAO",VLOOKUP("TOTAL - "&amp;B742,COMPOSICAO_AUX_2!$A:$J,10,FALSE),VLOOKUP(B742,I!$A:$D,4,FALSE))</f>
        <v>78.53</v>
      </c>
      <c r="J742" s="80">
        <f t="shared" si="32"/>
        <v>0.11</v>
      </c>
      <c r="K742" s="81"/>
    </row>
    <row r="743" spans="1:13" ht="15" customHeight="1" x14ac:dyDescent="0.25">
      <c r="A743" s="16" t="s">
        <v>306</v>
      </c>
      <c r="B743" s="16" t="s">
        <v>521</v>
      </c>
      <c r="C743" s="77" t="str">
        <f>VLOOKUP(B743,IF(A743="COMPOSICAO",S!$A:$D,I!$A:$D),2,FALSE)</f>
        <v>ÓCULOS BRANCO PROTEÇÃO</v>
      </c>
      <c r="D743" s="77"/>
      <c r="E743" s="77"/>
      <c r="F743" s="77"/>
      <c r="G743" s="16" t="str">
        <f>VLOOKUP(B743,IF(A743="COMPOSICAO",S!$A:$D,I!$A:$D),3,FALSE)</f>
        <v>PR</v>
      </c>
      <c r="H743" s="29">
        <v>8.0000000000000004E-4</v>
      </c>
      <c r="I743" s="17">
        <f>IF(A743="COMPOSICAO",VLOOKUP("TOTAL - "&amp;B743,COMPOSICAO_AUX_2!$A:$J,10,FALSE),VLOOKUP(B743,I!$A:$D,4,FALSE))</f>
        <v>5.9</v>
      </c>
      <c r="J743" s="80">
        <f t="shared" si="32"/>
        <v>0</v>
      </c>
      <c r="K743" s="81"/>
    </row>
    <row r="744" spans="1:13" ht="15" customHeight="1" x14ac:dyDescent="0.25">
      <c r="A744" s="16" t="s">
        <v>306</v>
      </c>
      <c r="B744" s="16" t="s">
        <v>522</v>
      </c>
      <c r="C744" s="77" t="str">
        <f>VLOOKUP(B744,IF(A744="COMPOSICAO",S!$A:$D,I!$A:$D),2,FALSE)</f>
        <v>VALE TRANSPORTE</v>
      </c>
      <c r="D744" s="77"/>
      <c r="E744" s="77"/>
      <c r="F744" s="77"/>
      <c r="G744" s="16" t="str">
        <f>VLOOKUP(B744,IF(A744="COMPOSICAO",S!$A:$D,I!$A:$D),3,FALSE)</f>
        <v>UN</v>
      </c>
      <c r="H744" s="29">
        <v>6.54E-2</v>
      </c>
      <c r="I744" s="17">
        <f>IF(A744="COMPOSICAO",VLOOKUP("TOTAL - "&amp;B744,COMPOSICAO_AUX_2!$A:$J,10,FALSE),VLOOKUP(B744,I!$A:$D,4,FALSE))</f>
        <v>4</v>
      </c>
      <c r="J744" s="80">
        <f t="shared" si="32"/>
        <v>0.26</v>
      </c>
      <c r="K744" s="81"/>
    </row>
    <row r="745" spans="1:13" ht="30" customHeight="1" x14ac:dyDescent="0.25">
      <c r="A745" s="16" t="s">
        <v>306</v>
      </c>
      <c r="B745" s="16" t="s">
        <v>617</v>
      </c>
      <c r="C745" s="77" t="str">
        <f>VLOOKUP(B745,IF(A745="COMPOSICAO",S!$A:$D,I!$A:$D),2,FALSE)</f>
        <v>DESEMPENADEIRA DE AÇO LISA, CABO MADEIRA, REF:143, ATLAS OU SIMILAR</v>
      </c>
      <c r="D745" s="77"/>
      <c r="E745" s="77"/>
      <c r="F745" s="77"/>
      <c r="G745" s="16" t="str">
        <f>VLOOKUP(B745,IF(A745="COMPOSICAO",S!$A:$D,I!$A:$D),3,FALSE)</f>
        <v>UN</v>
      </c>
      <c r="H745" s="29">
        <v>5.0000000000000001E-4</v>
      </c>
      <c r="I745" s="17">
        <f>IF(A745="COMPOSICAO",VLOOKUP("TOTAL - "&amp;B745,COMPOSICAO_AUX_2!$A:$J,10,FALSE),VLOOKUP(B745,I!$A:$D,4,FALSE))</f>
        <v>10.8</v>
      </c>
      <c r="J745" s="80">
        <f t="shared" si="32"/>
        <v>0</v>
      </c>
      <c r="K745" s="81"/>
    </row>
    <row r="746" spans="1:13" ht="15" customHeight="1" x14ac:dyDescent="0.25">
      <c r="A746" s="16" t="s">
        <v>306</v>
      </c>
      <c r="B746" s="16" t="s">
        <v>618</v>
      </c>
      <c r="C746" s="77" t="str">
        <f>VLOOKUP(B746,IF(A746="COMPOSICAO",S!$A:$D,I!$A:$D),2,FALSE)</f>
        <v>COLHER DE PEDREIRO</v>
      </c>
      <c r="D746" s="77"/>
      <c r="E746" s="77"/>
      <c r="F746" s="77"/>
      <c r="G746" s="16" t="str">
        <f>VLOOKUP(B746,IF(A746="COMPOSICAO",S!$A:$D,I!$A:$D),3,FALSE)</f>
        <v>UN</v>
      </c>
      <c r="H746" s="29">
        <v>4.0000000000000002E-4</v>
      </c>
      <c r="I746" s="17">
        <f>IF(A746="COMPOSICAO",VLOOKUP("TOTAL - "&amp;B746,COMPOSICAO_AUX_2!$A:$J,10,FALSE),VLOOKUP(B746,I!$A:$D,4,FALSE))</f>
        <v>16.79</v>
      </c>
      <c r="J746" s="80">
        <f t="shared" si="32"/>
        <v>0</v>
      </c>
      <c r="K746" s="81"/>
    </row>
    <row r="747" spans="1:13" ht="15" customHeight="1" x14ac:dyDescent="0.25">
      <c r="A747" s="16" t="s">
        <v>306</v>
      </c>
      <c r="B747" s="16" t="s">
        <v>619</v>
      </c>
      <c r="C747" s="77" t="str">
        <f>VLOOKUP(B747,IF(A747="COMPOSICAO",S!$A:$D,I!$A:$D),2,FALSE)</f>
        <v>REGUA DE ALUMÍNIO C/ 2,00M (PARA PEDREIRO)</v>
      </c>
      <c r="D747" s="77"/>
      <c r="E747" s="77"/>
      <c r="F747" s="77"/>
      <c r="G747" s="16" t="str">
        <f>VLOOKUP(B747,IF(A747="COMPOSICAO",S!$A:$D,I!$A:$D),3,FALSE)</f>
        <v>UN</v>
      </c>
      <c r="H747" s="29">
        <v>2.0000000000000001E-4</v>
      </c>
      <c r="I747" s="17">
        <f>IF(A747="COMPOSICAO",VLOOKUP("TOTAL - "&amp;B747,COMPOSICAO_AUX_2!$A:$J,10,FALSE),VLOOKUP(B747,I!$A:$D,4,FALSE))</f>
        <v>16.7</v>
      </c>
      <c r="J747" s="80">
        <f t="shared" si="32"/>
        <v>0</v>
      </c>
      <c r="K747" s="81"/>
    </row>
    <row r="748" spans="1:13" ht="15" customHeight="1" x14ac:dyDescent="0.25">
      <c r="A748" s="16" t="s">
        <v>306</v>
      </c>
      <c r="B748" s="16" t="s">
        <v>525</v>
      </c>
      <c r="C748" s="77" t="str">
        <f>VLOOKUP(B748,IF(A748="COMPOSICAO",S!$A:$D,I!$A:$D),2,FALSE)</f>
        <v>SEGURO DE VIDA E ACIDENTE EM GRUPO</v>
      </c>
      <c r="D748" s="77"/>
      <c r="E748" s="77"/>
      <c r="F748" s="77"/>
      <c r="G748" s="16" t="str">
        <f>VLOOKUP(B748,IF(A748="COMPOSICAO",S!$A:$D,I!$A:$D),3,FALSE)</f>
        <v>UN</v>
      </c>
      <c r="H748" s="29">
        <v>4.4999999999999997E-3</v>
      </c>
      <c r="I748" s="17">
        <f>IF(A748="COMPOSICAO",VLOOKUP("TOTAL - "&amp;B748,COMPOSICAO_AUX_2!$A:$J,10,FALSE),VLOOKUP(B748,I!$A:$D,4,FALSE))</f>
        <v>12.54</v>
      </c>
      <c r="J748" s="80">
        <f t="shared" si="32"/>
        <v>0.05</v>
      </c>
      <c r="K748" s="81"/>
    </row>
    <row r="749" spans="1:13" ht="15" customHeight="1" x14ac:dyDescent="0.25">
      <c r="A749" s="16" t="s">
        <v>306</v>
      </c>
      <c r="B749" s="16" t="s">
        <v>526</v>
      </c>
      <c r="C749" s="77" t="str">
        <f>VLOOKUP(B749,IF(A749="COMPOSICAO",S!$A:$D,I!$A:$D),2,FALSE)</f>
        <v>CESTA BÁSICA</v>
      </c>
      <c r="D749" s="77"/>
      <c r="E749" s="77"/>
      <c r="F749" s="77"/>
      <c r="G749" s="16" t="str">
        <f>VLOOKUP(B749,IF(A749="COMPOSICAO",S!$A:$D,I!$A:$D),3,FALSE)</f>
        <v>UN</v>
      </c>
      <c r="H749" s="29">
        <v>4.4999999999999997E-3</v>
      </c>
      <c r="I749" s="17">
        <f>IF(A749="COMPOSICAO",VLOOKUP("TOTAL - "&amp;B749,COMPOSICAO_AUX_2!$A:$J,10,FALSE),VLOOKUP(B749,I!$A:$D,4,FALSE))</f>
        <v>140</v>
      </c>
      <c r="J749" s="80">
        <f t="shared" si="32"/>
        <v>0.63</v>
      </c>
      <c r="K749" s="81"/>
    </row>
    <row r="750" spans="1:13" ht="15" customHeight="1" x14ac:dyDescent="0.25">
      <c r="A750" s="16" t="s">
        <v>306</v>
      </c>
      <c r="B750" s="16" t="s">
        <v>527</v>
      </c>
      <c r="C750" s="77" t="str">
        <f>VLOOKUP(B750,IF(A750="COMPOSICAO",S!$A:$D,I!$A:$D),2,FALSE)</f>
        <v>EXAMES ADMISSIONAIS/DEMISSIONAIS (CHECKUP)</v>
      </c>
      <c r="D750" s="77"/>
      <c r="E750" s="77"/>
      <c r="F750" s="77"/>
      <c r="G750" s="16" t="str">
        <f>VLOOKUP(B750,IF(A750="COMPOSICAO",S!$A:$D,I!$A:$D),3,FALSE)</f>
        <v>CJ</v>
      </c>
      <c r="H750" s="29">
        <v>4.0000000000000002E-4</v>
      </c>
      <c r="I750" s="17">
        <f>IF(A750="COMPOSICAO",VLOOKUP("TOTAL - "&amp;B750,COMPOSICAO_AUX_2!$A:$J,10,FALSE),VLOOKUP(B750,I!$A:$D,4,FALSE))</f>
        <v>300</v>
      </c>
      <c r="J750" s="80">
        <f t="shared" si="32"/>
        <v>0.12</v>
      </c>
      <c r="K750" s="81"/>
    </row>
    <row r="751" spans="1:13" ht="15" customHeight="1" x14ac:dyDescent="0.25">
      <c r="A751" s="16" t="s">
        <v>306</v>
      </c>
      <c r="B751" s="16" t="s">
        <v>528</v>
      </c>
      <c r="C751" s="77" t="str">
        <f>VLOOKUP(B751,IF(A751="COMPOSICAO",S!$A:$D,I!$A:$D),2,FALSE)</f>
        <v>PROTETOR AURICULAR</v>
      </c>
      <c r="D751" s="77"/>
      <c r="E751" s="77"/>
      <c r="F751" s="77"/>
      <c r="G751" s="16" t="str">
        <f>VLOOKUP(B751,IF(A751="COMPOSICAO",S!$A:$D,I!$A:$D),3,FALSE)</f>
        <v>UN</v>
      </c>
      <c r="H751" s="29">
        <v>4.4999999999999997E-3</v>
      </c>
      <c r="I751" s="17">
        <f>IF(A751="COMPOSICAO",VLOOKUP("TOTAL - "&amp;B751,COMPOSICAO_AUX_2!$A:$J,10,FALSE),VLOOKUP(B751,I!$A:$D,4,FALSE))</f>
        <v>4.9000000000000004</v>
      </c>
      <c r="J751" s="80">
        <f t="shared" si="32"/>
        <v>0.02</v>
      </c>
      <c r="K751" s="81"/>
    </row>
    <row r="752" spans="1:13" ht="15" customHeight="1" x14ac:dyDescent="0.25">
      <c r="A752" s="16" t="s">
        <v>306</v>
      </c>
      <c r="B752" s="16" t="s">
        <v>529</v>
      </c>
      <c r="C752" s="77" t="str">
        <f>VLOOKUP(B752,IF(A752="COMPOSICAO",S!$A:$D,I!$A:$D),2,FALSE)</f>
        <v>PROTETOR SOLAR FPS 30 COM 120ML</v>
      </c>
      <c r="D752" s="77"/>
      <c r="E752" s="77"/>
      <c r="F752" s="77"/>
      <c r="G752" s="16" t="str">
        <f>VLOOKUP(B752,IF(A752="COMPOSICAO",S!$A:$D,I!$A:$D),3,FALSE)</f>
        <v>UN</v>
      </c>
      <c r="H752" s="29">
        <v>1.8E-3</v>
      </c>
      <c r="I752" s="17">
        <f>IF(A752="COMPOSICAO",VLOOKUP("TOTAL - "&amp;B752,COMPOSICAO_AUX_2!$A:$J,10,FALSE),VLOOKUP(B752,I!$A:$D,4,FALSE))</f>
        <v>35.9</v>
      </c>
      <c r="J752" s="80">
        <f t="shared" si="32"/>
        <v>0.06</v>
      </c>
      <c r="K752" s="81"/>
    </row>
    <row r="753" spans="1:11" ht="30" customHeight="1" x14ac:dyDescent="0.25">
      <c r="A753" s="16" t="s">
        <v>306</v>
      </c>
      <c r="B753" s="16" t="s">
        <v>530</v>
      </c>
      <c r="C753" s="77" t="str">
        <f>VLOOKUP(B753,IF(A753="COMPOSICAO",S!$A:$D,I!$A:$D),2,FALSE)</f>
        <v>REFEIÇÃO - CAFÉ DA MANHÃ ( CAFÉ COM LEITE E DOIS PÃES COM MANTEIGA)</v>
      </c>
      <c r="D753" s="77"/>
      <c r="E753" s="77"/>
      <c r="F753" s="77"/>
      <c r="G753" s="16" t="str">
        <f>VLOOKUP(B753,IF(A753="COMPOSICAO",S!$A:$D,I!$A:$D),3,FALSE)</f>
        <v>UN</v>
      </c>
      <c r="H753" s="29">
        <v>0.1018</v>
      </c>
      <c r="I753" s="17">
        <f>IF(A753="COMPOSICAO",VLOOKUP("TOTAL - "&amp;B753,COMPOSICAO_AUX_2!$A:$J,10,FALSE),VLOOKUP(B753,I!$A:$D,4,FALSE))</f>
        <v>4.5</v>
      </c>
      <c r="J753" s="80">
        <f t="shared" si="32"/>
        <v>0.45</v>
      </c>
      <c r="K753" s="81"/>
    </row>
    <row r="754" spans="1:11" ht="15" customHeight="1" x14ac:dyDescent="0.25">
      <c r="A754" s="16" t="s">
        <v>306</v>
      </c>
      <c r="B754" s="16" t="s">
        <v>620</v>
      </c>
      <c r="C754" s="77" t="str">
        <f>VLOOKUP(B754,IF(A754="COMPOSICAO",S!$A:$D,I!$A:$D),2,FALSE)</f>
        <v>NÍVEL DE BOLHA DE MADEIRA</v>
      </c>
      <c r="D754" s="77"/>
      <c r="E754" s="77"/>
      <c r="F754" s="77"/>
      <c r="G754" s="16" t="str">
        <f>VLOOKUP(B754,IF(A754="COMPOSICAO",S!$A:$D,I!$A:$D),3,FALSE)</f>
        <v>UN</v>
      </c>
      <c r="H754" s="29">
        <v>2.0000000000000001E-4</v>
      </c>
      <c r="I754" s="17">
        <f>IF(A754="COMPOSICAO",VLOOKUP("TOTAL - "&amp;B754,COMPOSICAO_AUX_2!$A:$J,10,FALSE),VLOOKUP(B754,I!$A:$D,4,FALSE))</f>
        <v>15.9</v>
      </c>
      <c r="J754" s="80">
        <f t="shared" si="32"/>
        <v>0</v>
      </c>
      <c r="K754" s="81"/>
    </row>
    <row r="755" spans="1:11" ht="15" customHeight="1" x14ac:dyDescent="0.25">
      <c r="A755" s="16" t="s">
        <v>306</v>
      </c>
      <c r="B755" s="16" t="s">
        <v>621</v>
      </c>
      <c r="C755" s="77" t="str">
        <f>VLOOKUP(B755,IF(A755="COMPOSICAO",S!$A:$D,I!$A:$D),2,FALSE)</f>
        <v>PRUMO DE FACE</v>
      </c>
      <c r="D755" s="77"/>
      <c r="E755" s="77"/>
      <c r="F755" s="77"/>
      <c r="G755" s="16" t="str">
        <f>VLOOKUP(B755,IF(A755="COMPOSICAO",S!$A:$D,I!$A:$D),3,FALSE)</f>
        <v>UN</v>
      </c>
      <c r="H755" s="29">
        <v>1E-4</v>
      </c>
      <c r="I755" s="17">
        <f>IF(A755="COMPOSICAO",VLOOKUP("TOTAL - "&amp;B755,COMPOSICAO_AUX_2!$A:$J,10,FALSE),VLOOKUP(B755,I!$A:$D,4,FALSE))</f>
        <v>21</v>
      </c>
      <c r="J755" s="80">
        <f t="shared" si="32"/>
        <v>0</v>
      </c>
      <c r="K755" s="81"/>
    </row>
    <row r="756" spans="1:11" ht="15" customHeight="1" x14ac:dyDescent="0.25">
      <c r="A756" s="16" t="s">
        <v>306</v>
      </c>
      <c r="B756" s="16" t="s">
        <v>622</v>
      </c>
      <c r="C756" s="77" t="str">
        <f>VLOOKUP(B756,IF(A756="COMPOSICAO",S!$A:$D,I!$A:$D),2,FALSE)</f>
        <v>MARTELO SEM UNHA</v>
      </c>
      <c r="D756" s="77"/>
      <c r="E756" s="77"/>
      <c r="F756" s="77"/>
      <c r="G756" s="16" t="str">
        <f>VLOOKUP(B756,IF(A756="COMPOSICAO",S!$A:$D,I!$A:$D),3,FALSE)</f>
        <v>UN</v>
      </c>
      <c r="H756" s="29">
        <v>1E-4</v>
      </c>
      <c r="I756" s="17">
        <f>IF(A756="COMPOSICAO",VLOOKUP("TOTAL - "&amp;B756,COMPOSICAO_AUX_2!$A:$J,10,FALSE),VLOOKUP(B756,I!$A:$D,4,FALSE))</f>
        <v>16.55</v>
      </c>
      <c r="J756" s="80">
        <f t="shared" si="32"/>
        <v>0</v>
      </c>
      <c r="K756" s="81"/>
    </row>
    <row r="757" spans="1:11" ht="15" customHeight="1" x14ac:dyDescent="0.25">
      <c r="A757" s="16" t="s">
        <v>306</v>
      </c>
      <c r="B757" s="16" t="s">
        <v>623</v>
      </c>
      <c r="C757" s="77" t="str">
        <f>VLOOKUP(B757,IF(A757="COMPOSICAO",S!$A:$D,I!$A:$D),2,FALSE)</f>
        <v>DESEMPOLADEIRA DE MADEIRA 12X22</v>
      </c>
      <c r="D757" s="77"/>
      <c r="E757" s="77"/>
      <c r="F757" s="77"/>
      <c r="G757" s="16" t="str">
        <f>VLOOKUP(B757,IF(A757="COMPOSICAO",S!$A:$D,I!$A:$D),3,FALSE)</f>
        <v>UN</v>
      </c>
      <c r="H757" s="29">
        <v>6.9999999999999999E-4</v>
      </c>
      <c r="I757" s="17">
        <f>IF(A757="COMPOSICAO",VLOOKUP("TOTAL - "&amp;B757,COMPOSICAO_AUX_2!$A:$J,10,FALSE),VLOOKUP(B757,I!$A:$D,4,FALSE))</f>
        <v>11.26</v>
      </c>
      <c r="J757" s="80">
        <f t="shared" si="32"/>
        <v>0</v>
      </c>
      <c r="K757" s="81"/>
    </row>
    <row r="758" spans="1:11" ht="15" customHeight="1" x14ac:dyDescent="0.25">
      <c r="A758" s="16" t="s">
        <v>306</v>
      </c>
      <c r="B758" s="16" t="s">
        <v>624</v>
      </c>
      <c r="C758" s="77" t="str">
        <f>VLOOKUP(B758,IF(A758="COMPOSICAO",S!$A:$D,I!$A:$D),2,FALSE)</f>
        <v>ESCALA MÉTRICA DE BAMBÚ</v>
      </c>
      <c r="D758" s="77"/>
      <c r="E758" s="77"/>
      <c r="F758" s="77"/>
      <c r="G758" s="16" t="str">
        <f>VLOOKUP(B758,IF(A758="COMPOSICAO",S!$A:$D,I!$A:$D),3,FALSE)</f>
        <v>UN</v>
      </c>
      <c r="H758" s="29">
        <v>6.9999999999999999E-4</v>
      </c>
      <c r="I758" s="17">
        <f>IF(A758="COMPOSICAO",VLOOKUP("TOTAL - "&amp;B758,COMPOSICAO_AUX_2!$A:$J,10,FALSE),VLOOKUP(B758,I!$A:$D,4,FALSE))</f>
        <v>9.0500000000000007</v>
      </c>
      <c r="J758" s="80">
        <f t="shared" si="32"/>
        <v>0</v>
      </c>
      <c r="K758" s="81"/>
    </row>
    <row r="759" spans="1:11" ht="15" customHeight="1" x14ac:dyDescent="0.25">
      <c r="A759" s="16" t="s">
        <v>306</v>
      </c>
      <c r="B759" s="16" t="s">
        <v>625</v>
      </c>
      <c r="C759" s="77" t="str">
        <f>VLOOKUP(B759,IF(A759="COMPOSICAO",S!$A:$D,I!$A:$D),2,FALSE)</f>
        <v>SERRA MÁRMORE</v>
      </c>
      <c r="D759" s="77"/>
      <c r="E759" s="77"/>
      <c r="F759" s="77"/>
      <c r="G759" s="16" t="str">
        <f>VLOOKUP(B759,IF(A759="COMPOSICAO",S!$A:$D,I!$A:$D),3,FALSE)</f>
        <v>UN</v>
      </c>
      <c r="H759" s="29">
        <v>1E-4</v>
      </c>
      <c r="I759" s="17">
        <f>IF(A759="COMPOSICAO",VLOOKUP("TOTAL - "&amp;B759,COMPOSICAO_AUX_2!$A:$J,10,FALSE),VLOOKUP(B759,I!$A:$D,4,FALSE))</f>
        <v>272.97000000000003</v>
      </c>
      <c r="J759" s="80">
        <f t="shared" si="32"/>
        <v>0.02</v>
      </c>
      <c r="K759" s="81"/>
    </row>
    <row r="760" spans="1:11" ht="15" customHeight="1" x14ac:dyDescent="0.25">
      <c r="A760" s="16" t="s">
        <v>306</v>
      </c>
      <c r="B760" s="16" t="s">
        <v>626</v>
      </c>
      <c r="C760" s="77" t="str">
        <f>VLOOKUP(B760,IF(A760="COMPOSICAO",S!$A:$D,I!$A:$D),2,FALSE)</f>
        <v>MARRETA DE 1/2 KG COM CABO</v>
      </c>
      <c r="D760" s="77"/>
      <c r="E760" s="77"/>
      <c r="F760" s="77"/>
      <c r="G760" s="16" t="str">
        <f>VLOOKUP(B760,IF(A760="COMPOSICAO",S!$A:$D,I!$A:$D),3,FALSE)</f>
        <v>UN</v>
      </c>
      <c r="H760" s="29">
        <v>2.0000000000000001E-4</v>
      </c>
      <c r="I760" s="17">
        <f>IF(A760="COMPOSICAO",VLOOKUP("TOTAL - "&amp;B760,COMPOSICAO_AUX_2!$A:$J,10,FALSE),VLOOKUP(B760,I!$A:$D,4,FALSE))</f>
        <v>13.52</v>
      </c>
      <c r="J760" s="80">
        <f t="shared" si="32"/>
        <v>0</v>
      </c>
      <c r="K760" s="81"/>
    </row>
    <row r="761" spans="1:11" ht="15" customHeight="1" x14ac:dyDescent="0.25">
      <c r="A761" s="16" t="s">
        <v>306</v>
      </c>
      <c r="B761" s="16" t="s">
        <v>627</v>
      </c>
      <c r="C761" s="77" t="str">
        <f>VLOOKUP(B761,IF(A761="COMPOSICAO",S!$A:$D,I!$A:$D),2,FALSE)</f>
        <v>MARTELO DE BORRACHA COM CABO</v>
      </c>
      <c r="D761" s="77"/>
      <c r="E761" s="77"/>
      <c r="F761" s="77"/>
      <c r="G761" s="16" t="str">
        <f>VLOOKUP(B761,IF(A761="COMPOSICAO",S!$A:$D,I!$A:$D),3,FALSE)</f>
        <v>UN</v>
      </c>
      <c r="H761" s="29">
        <v>4.0000000000000002E-4</v>
      </c>
      <c r="I761" s="17">
        <f>IF(A761="COMPOSICAO",VLOOKUP("TOTAL - "&amp;B761,COMPOSICAO_AUX_2!$A:$J,10,FALSE),VLOOKUP(B761,I!$A:$D,4,FALSE))</f>
        <v>11.5</v>
      </c>
      <c r="J761" s="80">
        <f t="shared" si="32"/>
        <v>0</v>
      </c>
      <c r="K761" s="81"/>
    </row>
    <row r="762" spans="1:11" ht="30" customHeight="1" x14ac:dyDescent="0.25">
      <c r="A762" s="16" t="s">
        <v>306</v>
      </c>
      <c r="B762" s="20">
        <v>12892</v>
      </c>
      <c r="C762" s="77" t="str">
        <f>VLOOKUP(B762,IF(A762="COMPOSICAO",S!$A:$D,I!$A:$D),2,FALSE)</f>
        <v>LUVA RASPA DE COURO, CANO CURTO (PUNHO *7* CM)</v>
      </c>
      <c r="D762" s="77"/>
      <c r="E762" s="77"/>
      <c r="F762" s="77"/>
      <c r="G762" s="16" t="str">
        <f>VLOOKUP(B762,IF(A762="COMPOSICAO",S!$A:$D,I!$A:$D),3,FALSE)</f>
        <v>PAR</v>
      </c>
      <c r="H762" s="29">
        <v>2.3E-3</v>
      </c>
      <c r="I762" s="17">
        <f>IF(A762="COMPOSICAO",VLOOKUP("TOTAL - "&amp;B762,COMPOSICAO_AUX_2!$A:$J,10,FALSE),VLOOKUP(B762,I!$A:$D,4,FALSE))</f>
        <v>12.91</v>
      </c>
      <c r="J762" s="80">
        <f t="shared" si="32"/>
        <v>0.02</v>
      </c>
      <c r="K762" s="81"/>
    </row>
    <row r="763" spans="1:11" ht="30" customHeight="1" x14ac:dyDescent="0.25">
      <c r="A763" s="16" t="s">
        <v>306</v>
      </c>
      <c r="B763" s="20">
        <v>12893</v>
      </c>
      <c r="C763" s="77" t="str">
        <f>VLOOKUP(B763,IF(A763="COMPOSICAO",S!$A:$D,I!$A:$D),2,FALSE)</f>
        <v>BOTA DE SEGURANCA COM BIQUEIRA DE ACO E COLARINHO ACOLCHOADO</v>
      </c>
      <c r="D763" s="77"/>
      <c r="E763" s="77"/>
      <c r="F763" s="77"/>
      <c r="G763" s="16" t="str">
        <f>VLOOKUP(B763,IF(A763="COMPOSICAO",S!$A:$D,I!$A:$D),3,FALSE)</f>
        <v>PAR</v>
      </c>
      <c r="H763" s="29">
        <v>8.0000000000000004E-4</v>
      </c>
      <c r="I763" s="17">
        <f>IF(A763="COMPOSICAO",VLOOKUP("TOTAL - "&amp;B763,COMPOSICAO_AUX_2!$A:$J,10,FALSE),VLOOKUP(B763,I!$A:$D,4,FALSE))</f>
        <v>68.88</v>
      </c>
      <c r="J763" s="80">
        <f t="shared" si="32"/>
        <v>0.05</v>
      </c>
      <c r="K763" s="81"/>
    </row>
    <row r="764" spans="1:11" ht="30" customHeight="1" x14ac:dyDescent="0.25">
      <c r="A764" s="16" t="s">
        <v>306</v>
      </c>
      <c r="B764" s="20">
        <v>12894</v>
      </c>
      <c r="C764" s="77" t="str">
        <f>VLOOKUP(B764,IF(A764="COMPOSICAO",S!$A:$D,I!$A:$D),2,FALSE)</f>
        <v>CAPA PARA CHUVA EM PVC COM FORRO DE POLIESTER, COM CAPUZ (AMARELA OU AZUL)</v>
      </c>
      <c r="D764" s="77"/>
      <c r="E764" s="77"/>
      <c r="F764" s="77"/>
      <c r="G764" s="16" t="str">
        <f>VLOOKUP(B764,IF(A764="COMPOSICAO",S!$A:$D,I!$A:$D),3,FALSE)</f>
        <v>UN</v>
      </c>
      <c r="H764" s="29">
        <v>2.0000000000000001E-4</v>
      </c>
      <c r="I764" s="17">
        <f>IF(A764="COMPOSICAO",VLOOKUP("TOTAL - "&amp;B764,COMPOSICAO_AUX_2!$A:$J,10,FALSE),VLOOKUP(B764,I!$A:$D,4,FALSE))</f>
        <v>18.649999999999999</v>
      </c>
      <c r="J764" s="80">
        <f t="shared" si="32"/>
        <v>0</v>
      </c>
      <c r="K764" s="81"/>
    </row>
    <row r="765" spans="1:11" ht="30" customHeight="1" x14ac:dyDescent="0.25">
      <c r="A765" s="16" t="s">
        <v>306</v>
      </c>
      <c r="B765" s="20">
        <v>12895</v>
      </c>
      <c r="C765" s="77" t="str">
        <f>VLOOKUP(B765,IF(A765="COMPOSICAO",S!$A:$D,I!$A:$D),2,FALSE)</f>
        <v>CAPACETE DE SEGURANCA ABA FRONTAL COM SUSPENSAO DE POLIETILENO, SEM JUGULAR (CLASSE B)</v>
      </c>
      <c r="D765" s="77"/>
      <c r="E765" s="77"/>
      <c r="F765" s="77"/>
      <c r="G765" s="16" t="str">
        <f>VLOOKUP(B765,IF(A765="COMPOSICAO",S!$A:$D,I!$A:$D),3,FALSE)</f>
        <v>UN</v>
      </c>
      <c r="H765" s="29">
        <v>5.9999999999999995E-4</v>
      </c>
      <c r="I765" s="17">
        <f>IF(A765="COMPOSICAO",VLOOKUP("TOTAL - "&amp;B765,COMPOSICAO_AUX_2!$A:$J,10,FALSE),VLOOKUP(B765,I!$A:$D,4,FALSE))</f>
        <v>14.35</v>
      </c>
      <c r="J765" s="80">
        <f t="shared" si="32"/>
        <v>0</v>
      </c>
      <c r="K765" s="81"/>
    </row>
    <row r="766" spans="1:11" ht="15" customHeight="1" x14ac:dyDescent="0.25">
      <c r="A766" s="23" t="s">
        <v>628</v>
      </c>
      <c r="B766" s="24"/>
      <c r="C766" s="24"/>
      <c r="D766" s="24"/>
      <c r="E766" s="24"/>
      <c r="F766" s="24"/>
      <c r="G766" s="25"/>
      <c r="H766" s="26"/>
      <c r="I766" s="27"/>
      <c r="J766" s="80">
        <f>SUM(J740:K765)</f>
        <v>2.8000000000000003</v>
      </c>
      <c r="K766" s="81"/>
    </row>
    <row r="767" spans="1:11" ht="15" customHeight="1" x14ac:dyDescent="0.25">
      <c r="A767" s="3"/>
      <c r="B767" s="3"/>
      <c r="C767" s="3"/>
      <c r="D767" s="3"/>
      <c r="E767" s="3"/>
      <c r="F767" s="3"/>
      <c r="G767" s="3"/>
      <c r="H767" s="3"/>
      <c r="I767" s="3"/>
      <c r="J767" s="3"/>
      <c r="K767" s="3"/>
    </row>
    <row r="768" spans="1:11" ht="15" customHeight="1" x14ac:dyDescent="0.25">
      <c r="A768" s="10" t="s">
        <v>295</v>
      </c>
      <c r="B768" s="10" t="s">
        <v>31</v>
      </c>
      <c r="C768" s="82" t="s">
        <v>7</v>
      </c>
      <c r="D768" s="83"/>
      <c r="E768" s="83"/>
      <c r="F768" s="83"/>
      <c r="G768" s="6" t="s">
        <v>32</v>
      </c>
      <c r="H768" s="6" t="s">
        <v>296</v>
      </c>
      <c r="I768" s="6" t="s">
        <v>297</v>
      </c>
      <c r="J768" s="57" t="s">
        <v>9</v>
      </c>
      <c r="K768" s="58"/>
    </row>
    <row r="769" spans="1:13" ht="60" customHeight="1" x14ac:dyDescent="0.25">
      <c r="A769" s="6" t="s">
        <v>363</v>
      </c>
      <c r="B769" s="28">
        <v>94964</v>
      </c>
      <c r="C769" s="91" t="str">
        <f>VLOOKUP(B769,S!$A:$D,2,FALSE)</f>
        <v>CONCRETO FCK = 20MPA, TRAÇO 1:2,7:3 (EM MASSA SECA DE CIMENTO/ AREIA MÉDIA/ BRITA 1) - PREPARO MECÂNICO COM BETONEIRA 400 L. AF_05/2021</v>
      </c>
      <c r="D769" s="91"/>
      <c r="E769" s="91"/>
      <c r="F769" s="92"/>
      <c r="G769" s="6" t="str">
        <f>VLOOKUP(B769,S!$A:$D,3,FALSE)</f>
        <v>M3</v>
      </c>
      <c r="H769" s="21"/>
      <c r="I769" s="21">
        <f>J777</f>
        <v>393.27999999999992</v>
      </c>
      <c r="J769" s="76"/>
      <c r="K769" s="72"/>
      <c r="L769" s="21">
        <f>VLOOKUP(B769,S!$A:$D,4,FALSE)</f>
        <v>393.28</v>
      </c>
      <c r="M769" s="6" t="str">
        <f>IF(ROUND((L769-I769),2)=0,"OK, confere com a tabela.",IF(ROUND((L769-I769),2)&lt;0,"ACIMA ("&amp;TEXT(ROUND(I769*100/L769,4),"0,0000")&amp;" %) da tabela.","ABAIXO ("&amp;TEXT(ROUND(I769*100/L769,4),"0,0000")&amp;" %) da tabela."))</f>
        <v>OK, confere com a tabela.</v>
      </c>
    </row>
    <row r="770" spans="1:13" ht="30" customHeight="1" x14ac:dyDescent="0.25">
      <c r="A770" s="16" t="s">
        <v>306</v>
      </c>
      <c r="B770" s="20">
        <v>370</v>
      </c>
      <c r="C770" s="77" t="str">
        <f>VLOOKUP(B770,IF(A770="COMPOSICAO",S!$A:$D,I!$A:$D),2,FALSE)</f>
        <v>AREIA MEDIA - POSTO JAZIDA/FORNECEDOR (RETIRADO NA JAZIDA, SEM TRANSPORTE)</v>
      </c>
      <c r="D770" s="77"/>
      <c r="E770" s="77"/>
      <c r="F770" s="77"/>
      <c r="G770" s="16" t="str">
        <f>VLOOKUP(B770,IF(A770="COMPOSICAO",S!$A:$D,I!$A:$D),3,FALSE)</f>
        <v>M3</v>
      </c>
      <c r="H770" s="29">
        <v>0.75580000000000003</v>
      </c>
      <c r="I770" s="17">
        <f>IF(A770="COMPOSICAO",VLOOKUP("TOTAL - "&amp;B770,COMPOSICAO_AUX_2!$A:$J,10,FALSE),VLOOKUP(B770,I!$A:$D,4,FALSE))</f>
        <v>54</v>
      </c>
      <c r="J770" s="80">
        <f t="shared" ref="J770:J776" si="33">TRUNC(H770*I770,2)</f>
        <v>40.81</v>
      </c>
      <c r="K770" s="81"/>
    </row>
    <row r="771" spans="1:13" ht="15" customHeight="1" x14ac:dyDescent="0.25">
      <c r="A771" s="16" t="s">
        <v>306</v>
      </c>
      <c r="B771" s="20">
        <v>1379</v>
      </c>
      <c r="C771" s="77" t="str">
        <f>VLOOKUP(B771,IF(A771="COMPOSICAO",S!$A:$D,I!$A:$D),2,FALSE)</f>
        <v>CIMENTO PORTLAND COMPOSTO CP II-32</v>
      </c>
      <c r="D771" s="77"/>
      <c r="E771" s="77"/>
      <c r="F771" s="77"/>
      <c r="G771" s="16" t="str">
        <f>VLOOKUP(B771,IF(A771="COMPOSICAO",S!$A:$D,I!$A:$D),3,FALSE)</f>
        <v>KG</v>
      </c>
      <c r="H771" s="29">
        <v>322.97770000000003</v>
      </c>
      <c r="I771" s="17">
        <f>IF(A771="COMPOSICAO",VLOOKUP("TOTAL - "&amp;B771,COMPOSICAO_AUX_2!$A:$J,10,FALSE),VLOOKUP(B771,I!$A:$D,4,FALSE))</f>
        <v>0.7</v>
      </c>
      <c r="J771" s="80">
        <f t="shared" si="33"/>
        <v>226.08</v>
      </c>
      <c r="K771" s="81"/>
    </row>
    <row r="772" spans="1:13" ht="30" customHeight="1" x14ac:dyDescent="0.25">
      <c r="A772" s="16" t="s">
        <v>306</v>
      </c>
      <c r="B772" s="20">
        <v>4721</v>
      </c>
      <c r="C772" s="77" t="str">
        <f>VLOOKUP(B772,IF(A772="COMPOSICAO",S!$A:$D,I!$A:$D),2,FALSE)</f>
        <v>PEDRA BRITADA N. 1 (9,5 a 19 MM) POSTO PEDREIRA/FORNECEDOR, SEM FRETE</v>
      </c>
      <c r="D772" s="77"/>
      <c r="E772" s="77"/>
      <c r="F772" s="77"/>
      <c r="G772" s="16" t="str">
        <f>VLOOKUP(B772,IF(A772="COMPOSICAO",S!$A:$D,I!$A:$D),3,FALSE)</f>
        <v>M3</v>
      </c>
      <c r="H772" s="29">
        <v>0.58720000000000006</v>
      </c>
      <c r="I772" s="17">
        <f>IF(A772="COMPOSICAO",VLOOKUP("TOTAL - "&amp;B772,COMPOSICAO_AUX_2!$A:$J,10,FALSE),VLOOKUP(B772,I!$A:$D,4,FALSE))</f>
        <v>92.01</v>
      </c>
      <c r="J772" s="80">
        <f t="shared" si="33"/>
        <v>54.02</v>
      </c>
      <c r="K772" s="81"/>
    </row>
    <row r="773" spans="1:13" ht="15" customHeight="1" x14ac:dyDescent="0.25">
      <c r="A773" s="16" t="s">
        <v>302</v>
      </c>
      <c r="B773" s="20">
        <v>88316</v>
      </c>
      <c r="C773" s="77" t="str">
        <f>VLOOKUP(B773,IF(A773="COMPOSICAO",S!$A:$D,I!$A:$D),2,FALSE)</f>
        <v>SERVENTE COM ENCARGOS COMPLEMENTARES</v>
      </c>
      <c r="D773" s="77"/>
      <c r="E773" s="77"/>
      <c r="F773" s="77"/>
      <c r="G773" s="16" t="str">
        <f>VLOOKUP(B773,IF(A773="COMPOSICAO",S!$A:$D,I!$A:$D),3,FALSE)</f>
        <v>H</v>
      </c>
      <c r="H773" s="29">
        <v>2.5333000000000001</v>
      </c>
      <c r="I773" s="17">
        <f>IF(A773="COMPOSICAO",VLOOKUP("TOTAL - "&amp;B773,COMPOSICAO_AUX_2!$A:$J,10,FALSE),VLOOKUP(B773,I!$A:$D,4,FALSE))</f>
        <v>15.35</v>
      </c>
      <c r="J773" s="80">
        <f t="shared" si="33"/>
        <v>38.880000000000003</v>
      </c>
      <c r="K773" s="81"/>
    </row>
    <row r="774" spans="1:13" ht="30" customHeight="1" x14ac:dyDescent="0.25">
      <c r="A774" s="16" t="s">
        <v>302</v>
      </c>
      <c r="B774" s="20">
        <v>88377</v>
      </c>
      <c r="C774" s="77" t="str">
        <f>VLOOKUP(B774,IF(A774="COMPOSICAO",S!$A:$D,I!$A:$D),2,FALSE)</f>
        <v>OPERADOR DE BETONEIRA ESTACIONÁRIA/MISTURADOR COM ENCARGOS COMPLEMENTARES</v>
      </c>
      <c r="D774" s="77"/>
      <c r="E774" s="77"/>
      <c r="F774" s="77"/>
      <c r="G774" s="16" t="str">
        <f>VLOOKUP(B774,IF(A774="COMPOSICAO",S!$A:$D,I!$A:$D),3,FALSE)</f>
        <v>H</v>
      </c>
      <c r="H774" s="29">
        <v>1.6046</v>
      </c>
      <c r="I774" s="17">
        <f>IF(A774="COMPOSICAO",VLOOKUP("TOTAL - "&amp;B774,COMPOSICAO_AUX_2!$A:$J,10,FALSE),VLOOKUP(B774,I!$A:$D,4,FALSE))</f>
        <v>19.810000000000002</v>
      </c>
      <c r="J774" s="80">
        <f t="shared" si="33"/>
        <v>31.78</v>
      </c>
      <c r="K774" s="81"/>
    </row>
    <row r="775" spans="1:13" ht="60" customHeight="1" x14ac:dyDescent="0.25">
      <c r="A775" s="16" t="s">
        <v>302</v>
      </c>
      <c r="B775" s="20">
        <v>88830</v>
      </c>
      <c r="C775" s="77" t="str">
        <f>VLOOKUP(B775,IF(A775="COMPOSICAO",S!$A:$D,I!$A:$D),2,FALSE)</f>
        <v>BETONEIRA CAPACIDADE NOMINAL DE 400 L, CAPACIDADE DE MISTURA 280 L, MOTOR ELÉTRICO TRIFÁSICO POTÊNCIA DE 2 CV, SEM CARREGADOR - CHP DIURNO. AF_10/2014</v>
      </c>
      <c r="D775" s="77"/>
      <c r="E775" s="77"/>
      <c r="F775" s="77"/>
      <c r="G775" s="16" t="str">
        <f>VLOOKUP(B775,IF(A775="COMPOSICAO",S!$A:$D,I!$A:$D),3,FALSE)</f>
        <v>CHP</v>
      </c>
      <c r="H775" s="29">
        <v>0.82589999999999997</v>
      </c>
      <c r="I775" s="17">
        <f>IF(A775="COMPOSICAO",VLOOKUP("TOTAL - "&amp;B775,COMPOSICAO_AUX_2!$A:$J,10,FALSE),VLOOKUP(B775,I!$A:$D,4,FALSE))</f>
        <v>1.7</v>
      </c>
      <c r="J775" s="80">
        <f t="shared" si="33"/>
        <v>1.4</v>
      </c>
      <c r="K775" s="81"/>
    </row>
    <row r="776" spans="1:13" ht="60" customHeight="1" x14ac:dyDescent="0.25">
      <c r="A776" s="16" t="s">
        <v>302</v>
      </c>
      <c r="B776" s="20">
        <v>88831</v>
      </c>
      <c r="C776" s="77" t="str">
        <f>VLOOKUP(B776,IF(A776="COMPOSICAO",S!$A:$D,I!$A:$D),2,FALSE)</f>
        <v>BETONEIRA CAPACIDADE NOMINAL DE 400 L, CAPACIDADE DE MISTURA 280 L, MOTOR ELÉTRICO TRIFÁSICO POTÊNCIA DE 2 CV, SEM CARREGADOR - CHI DIURNO. AF_10/2014</v>
      </c>
      <c r="D776" s="77"/>
      <c r="E776" s="77"/>
      <c r="F776" s="77"/>
      <c r="G776" s="16" t="str">
        <f>VLOOKUP(B776,IF(A776="COMPOSICAO",S!$A:$D,I!$A:$D),3,FALSE)</f>
        <v>CHI</v>
      </c>
      <c r="H776" s="29">
        <v>0.77869999999999995</v>
      </c>
      <c r="I776" s="17">
        <f>IF(A776="COMPOSICAO",VLOOKUP("TOTAL - "&amp;B776,COMPOSICAO_AUX_2!$A:$J,10,FALSE),VLOOKUP(B776,I!$A:$D,4,FALSE))</f>
        <v>0.41</v>
      </c>
      <c r="J776" s="80">
        <f t="shared" si="33"/>
        <v>0.31</v>
      </c>
      <c r="K776" s="81"/>
    </row>
    <row r="777" spans="1:13" ht="15" customHeight="1" x14ac:dyDescent="0.25">
      <c r="A777" s="23" t="s">
        <v>629</v>
      </c>
      <c r="B777" s="24"/>
      <c r="C777" s="24"/>
      <c r="D777" s="24"/>
      <c r="E777" s="24"/>
      <c r="F777" s="24"/>
      <c r="G777" s="25"/>
      <c r="H777" s="26"/>
      <c r="I777" s="27"/>
      <c r="J777" s="80">
        <f>SUM(J769:K776)</f>
        <v>393.27999999999992</v>
      </c>
      <c r="K777" s="81"/>
    </row>
    <row r="778" spans="1:13" ht="15" customHeight="1" x14ac:dyDescent="0.25">
      <c r="A778" s="3"/>
      <c r="B778" s="3"/>
      <c r="C778" s="3"/>
      <c r="D778" s="3"/>
      <c r="E778" s="3"/>
      <c r="F778" s="3"/>
      <c r="G778" s="3"/>
      <c r="H778" s="3"/>
      <c r="I778" s="3"/>
      <c r="J778" s="3"/>
      <c r="K778" s="3"/>
    </row>
    <row r="779" spans="1:13" ht="15" customHeight="1" x14ac:dyDescent="0.25">
      <c r="A779" s="10" t="s">
        <v>295</v>
      </c>
      <c r="B779" s="10" t="s">
        <v>31</v>
      </c>
      <c r="C779" s="82" t="s">
        <v>7</v>
      </c>
      <c r="D779" s="83"/>
      <c r="E779" s="83"/>
      <c r="F779" s="83"/>
      <c r="G779" s="6" t="s">
        <v>32</v>
      </c>
      <c r="H779" s="6" t="s">
        <v>296</v>
      </c>
      <c r="I779" s="6" t="s">
        <v>297</v>
      </c>
      <c r="J779" s="57" t="s">
        <v>9</v>
      </c>
      <c r="K779" s="58"/>
    </row>
    <row r="780" spans="1:13" ht="60" customHeight="1" x14ac:dyDescent="0.25">
      <c r="A780" s="6" t="s">
        <v>11</v>
      </c>
      <c r="B780" s="6" t="s">
        <v>395</v>
      </c>
      <c r="C780" s="91" t="str">
        <f>VLOOKUP(B780,S!$A:$D,2,FALSE)</f>
        <v>ARGAMASSA CIMENTO E AREIA TRAÇO T-1 (1:3) - 1 SACO CIMENTO 50KG / 3 PADIOLAS AREIA DIM. 0.35 X 0.45 X 0.23 M - CONFECÇÃO MECÂNICA E TRANSPORTE</v>
      </c>
      <c r="D780" s="91"/>
      <c r="E780" s="91"/>
      <c r="F780" s="92"/>
      <c r="G780" s="6" t="str">
        <f>VLOOKUP(B780,S!$A:$D,3,FALSE)</f>
        <v>M3</v>
      </c>
      <c r="H780" s="21"/>
      <c r="I780" s="21">
        <f>J785</f>
        <v>428.9</v>
      </c>
      <c r="J780" s="76"/>
      <c r="K780" s="72"/>
      <c r="L780" s="21">
        <f>VLOOKUP(B780,S!$A:$D,4,FALSE)</f>
        <v>468.55</v>
      </c>
      <c r="M780" s="6" t="str">
        <f>IF(ROUND((L780-I780),2)=0,"OK, confere com a tabela.",IF(ROUND((L780-I780),2)&lt;0,"ACIMA ("&amp;TEXT(ROUND(I780*100/L780,4),"0,0000")&amp;" %) da tabela.","ABAIXO ("&amp;TEXT(ROUND(I780*100/L780,4),"0,0000")&amp;" %) da tabela."))</f>
        <v>ABAIXO (91,5377 %) da tabela.</v>
      </c>
    </row>
    <row r="781" spans="1:13" ht="30" customHeight="1" x14ac:dyDescent="0.25">
      <c r="A781" s="16" t="s">
        <v>306</v>
      </c>
      <c r="B781" s="20">
        <v>370</v>
      </c>
      <c r="C781" s="77" t="str">
        <f>VLOOKUP(B781,IF(A781="COMPOSICAO",S!$A:$D,I!$A:$D),2,FALSE)</f>
        <v>AREIA MEDIA - POSTO JAZIDA/FORNECEDOR (RETIRADO NA JAZIDA, SEM TRANSPORTE)</v>
      </c>
      <c r="D781" s="77"/>
      <c r="E781" s="77"/>
      <c r="F781" s="77"/>
      <c r="G781" s="16" t="str">
        <f>VLOOKUP(B781,IF(A781="COMPOSICAO",S!$A:$D,I!$A:$D),3,FALSE)</f>
        <v>M3</v>
      </c>
      <c r="H781" s="17">
        <v>1.08</v>
      </c>
      <c r="I781" s="17">
        <f>IF(A781="COMPOSICAO",VLOOKUP("TOTAL - "&amp;B781,COMPOSICAO_AUX_2!$A:$J,10,FALSE),VLOOKUP(B781,I!$A:$D,4,FALSE))</f>
        <v>54</v>
      </c>
      <c r="J781" s="80">
        <f>TRUNC(H781*I781,2)</f>
        <v>58.32</v>
      </c>
      <c r="K781" s="81"/>
    </row>
    <row r="782" spans="1:13" ht="15" customHeight="1" x14ac:dyDescent="0.25">
      <c r="A782" s="16" t="s">
        <v>306</v>
      </c>
      <c r="B782" s="20">
        <v>1379</v>
      </c>
      <c r="C782" s="77" t="str">
        <f>VLOOKUP(B782,IF(A782="COMPOSICAO",S!$A:$D,I!$A:$D),2,FALSE)</f>
        <v>CIMENTO PORTLAND COMPOSTO CP II-32</v>
      </c>
      <c r="D782" s="77"/>
      <c r="E782" s="77"/>
      <c r="F782" s="77"/>
      <c r="G782" s="16" t="str">
        <f>VLOOKUP(B782,IF(A782="COMPOSICAO",S!$A:$D,I!$A:$D),3,FALSE)</f>
        <v>KG</v>
      </c>
      <c r="H782" s="17">
        <v>452.2</v>
      </c>
      <c r="I782" s="17">
        <f>IF(A782="COMPOSICAO",VLOOKUP("TOTAL - "&amp;B782,COMPOSICAO_AUX_2!$A:$J,10,FALSE),VLOOKUP(B782,I!$A:$D,4,FALSE))</f>
        <v>0.7</v>
      </c>
      <c r="J782" s="80">
        <f>TRUNC(H782*I782,2)</f>
        <v>316.54000000000002</v>
      </c>
      <c r="K782" s="81"/>
    </row>
    <row r="783" spans="1:13" ht="15" customHeight="1" x14ac:dyDescent="0.25">
      <c r="A783" s="16" t="s">
        <v>306</v>
      </c>
      <c r="B783" s="20">
        <v>6111</v>
      </c>
      <c r="C783" s="77" t="str">
        <f>VLOOKUP(B783,IF(A783="COMPOSICAO",S!$A:$D,I!$A:$D),2,FALSE)</f>
        <v>SERVENTE DE OBRAS</v>
      </c>
      <c r="D783" s="77"/>
      <c r="E783" s="77"/>
      <c r="F783" s="77"/>
      <c r="G783" s="16" t="str">
        <f>VLOOKUP(B783,IF(A783="COMPOSICAO",S!$A:$D,I!$A:$D),3,FALSE)</f>
        <v>H</v>
      </c>
      <c r="H783" s="17">
        <v>4</v>
      </c>
      <c r="I783" s="17">
        <f>IF(A783="COMPOSICAO",VLOOKUP("TOTAL - "&amp;B783,COMPOSICAO_AUX_2!$A:$J,10,FALSE),VLOOKUP(B783,I!$A:$D,4,FALSE))</f>
        <v>10.6</v>
      </c>
      <c r="J783" s="80">
        <f>TRUNC(H783*I783,2)</f>
        <v>42.4</v>
      </c>
      <c r="K783" s="81"/>
    </row>
    <row r="784" spans="1:13" ht="15" customHeight="1" x14ac:dyDescent="0.25">
      <c r="A784" s="16" t="s">
        <v>302</v>
      </c>
      <c r="B784" s="16" t="s">
        <v>319</v>
      </c>
      <c r="C784" s="77" t="str">
        <f>VLOOKUP(B784,IF(A784="COMPOSICAO",S!$A:$D,I!$A:$D),2,FALSE)</f>
        <v>ENCARGOS COMPLEMENTARES - SERVENTE</v>
      </c>
      <c r="D784" s="77"/>
      <c r="E784" s="77"/>
      <c r="F784" s="77"/>
      <c r="G784" s="16" t="str">
        <f>VLOOKUP(B784,IF(A784="COMPOSICAO",S!$A:$D,I!$A:$D),3,FALSE)</f>
        <v>H</v>
      </c>
      <c r="H784" s="17">
        <v>4</v>
      </c>
      <c r="I784" s="17">
        <f>IF(A784="COMPOSICAO",VLOOKUP("TOTAL - "&amp;B784,COMPOSICAO_AUX_2!$A:$J,10,FALSE),VLOOKUP(B784,I!$A:$D,4,FALSE))</f>
        <v>2.9100000000000006</v>
      </c>
      <c r="J784" s="80">
        <f>TRUNC(H784*I784,2)</f>
        <v>11.64</v>
      </c>
      <c r="K784" s="81"/>
    </row>
    <row r="785" spans="1:13" ht="15" customHeight="1" x14ac:dyDescent="0.25">
      <c r="A785" s="23" t="s">
        <v>630</v>
      </c>
      <c r="B785" s="24"/>
      <c r="C785" s="24"/>
      <c r="D785" s="24"/>
      <c r="E785" s="24"/>
      <c r="F785" s="24"/>
      <c r="G785" s="25"/>
      <c r="H785" s="26"/>
      <c r="I785" s="27"/>
      <c r="J785" s="80">
        <f>SUM(J780:K784)</f>
        <v>428.9</v>
      </c>
      <c r="K785" s="81"/>
    </row>
    <row r="786" spans="1:13" ht="15" customHeight="1" x14ac:dyDescent="0.25">
      <c r="A786" s="3"/>
      <c r="B786" s="3"/>
      <c r="C786" s="3"/>
      <c r="D786" s="3"/>
      <c r="E786" s="3"/>
      <c r="F786" s="3"/>
      <c r="G786" s="3"/>
      <c r="H786" s="3"/>
      <c r="I786" s="3"/>
      <c r="J786" s="3"/>
      <c r="K786" s="3"/>
    </row>
    <row r="787" spans="1:13" ht="15" customHeight="1" x14ac:dyDescent="0.25">
      <c r="A787" s="10" t="s">
        <v>295</v>
      </c>
      <c r="B787" s="10" t="s">
        <v>31</v>
      </c>
      <c r="C787" s="82" t="s">
        <v>7</v>
      </c>
      <c r="D787" s="83"/>
      <c r="E787" s="83"/>
      <c r="F787" s="83"/>
      <c r="G787" s="6" t="s">
        <v>32</v>
      </c>
      <c r="H787" s="6" t="s">
        <v>296</v>
      </c>
      <c r="I787" s="6" t="s">
        <v>297</v>
      </c>
      <c r="J787" s="57" t="s">
        <v>9</v>
      </c>
      <c r="K787" s="58"/>
    </row>
    <row r="788" spans="1:13" ht="15" customHeight="1" x14ac:dyDescent="0.25">
      <c r="A788" s="6" t="s">
        <v>502</v>
      </c>
      <c r="B788" s="28">
        <v>88310</v>
      </c>
      <c r="C788" s="91" t="str">
        <f>VLOOKUP(B788,S!$A:$D,2,FALSE)</f>
        <v>PINTOR COM ENCARGOS COMPLEMENTARES</v>
      </c>
      <c r="D788" s="91"/>
      <c r="E788" s="91"/>
      <c r="F788" s="92"/>
      <c r="G788" s="6" t="str">
        <f>VLOOKUP(B788,S!$A:$D,3,FALSE)</f>
        <v>H</v>
      </c>
      <c r="H788" s="21"/>
      <c r="I788" s="21">
        <f>J797</f>
        <v>20.849999999999994</v>
      </c>
      <c r="J788" s="76"/>
      <c r="K788" s="72"/>
      <c r="L788" s="21">
        <f>VLOOKUP(B788,S!$A:$D,4,FALSE)</f>
        <v>20.85</v>
      </c>
      <c r="M788" s="6" t="str">
        <f>IF(ROUND((L788-I788),2)=0,"OK, confere com a tabela.",IF(ROUND((L788-I788),2)&lt;0,"ACIMA ("&amp;TEXT(ROUND(I788*100/L788,4),"0,0000")&amp;" %) da tabela.","ABAIXO ("&amp;TEXT(ROUND(I788*100/L788,4),"0,0000")&amp;" %) da tabela."))</f>
        <v>OK, confere com a tabela.</v>
      </c>
    </row>
    <row r="789" spans="1:13" ht="15" customHeight="1" x14ac:dyDescent="0.25">
      <c r="A789" s="16" t="s">
        <v>306</v>
      </c>
      <c r="B789" s="20">
        <v>4783</v>
      </c>
      <c r="C789" s="77" t="str">
        <f>VLOOKUP(B789,IF(A789="COMPOSICAO",S!$A:$D,I!$A:$D),2,FALSE)</f>
        <v>PINTOR</v>
      </c>
      <c r="D789" s="77"/>
      <c r="E789" s="77"/>
      <c r="F789" s="77"/>
      <c r="G789" s="16" t="str">
        <f>VLOOKUP(B789,IF(A789="COMPOSICAO",S!$A:$D,I!$A:$D),3,FALSE)</f>
        <v>H</v>
      </c>
      <c r="H789" s="17">
        <v>1</v>
      </c>
      <c r="I789" s="17">
        <f>IF(A789="COMPOSICAO",VLOOKUP("TOTAL - "&amp;B789,COMPOSICAO_AUX_2!$A:$J,10,FALSE),VLOOKUP(B789,I!$A:$D,4,FALSE))</f>
        <v>14.93</v>
      </c>
      <c r="J789" s="80">
        <f t="shared" ref="J789:J796" si="34">TRUNC(H789*I789,2)</f>
        <v>14.93</v>
      </c>
      <c r="K789" s="81"/>
    </row>
    <row r="790" spans="1:13" ht="15" customHeight="1" x14ac:dyDescent="0.25">
      <c r="A790" s="16" t="s">
        <v>306</v>
      </c>
      <c r="B790" s="20">
        <v>37370</v>
      </c>
      <c r="C790" s="77" t="str">
        <f>VLOOKUP(B790,IF(A790="COMPOSICAO",S!$A:$D,I!$A:$D),2,FALSE)</f>
        <v>ALIMENTACAO - HORISTA (COLETADO CAIXA)</v>
      </c>
      <c r="D790" s="77"/>
      <c r="E790" s="77"/>
      <c r="F790" s="77"/>
      <c r="G790" s="16" t="str">
        <f>VLOOKUP(B790,IF(A790="COMPOSICAO",S!$A:$D,I!$A:$D),3,FALSE)</f>
        <v>H</v>
      </c>
      <c r="H790" s="17">
        <v>1</v>
      </c>
      <c r="I790" s="17">
        <f>IF(A790="COMPOSICAO",VLOOKUP("TOTAL - "&amp;B790,COMPOSICAO_AUX_2!$A:$J,10,FALSE),VLOOKUP(B790,I!$A:$D,4,FALSE))</f>
        <v>1.86</v>
      </c>
      <c r="J790" s="80">
        <f t="shared" si="34"/>
        <v>1.86</v>
      </c>
      <c r="K790" s="81"/>
    </row>
    <row r="791" spans="1:13" ht="15" customHeight="1" x14ac:dyDescent="0.25">
      <c r="A791" s="16" t="s">
        <v>306</v>
      </c>
      <c r="B791" s="20">
        <v>37371</v>
      </c>
      <c r="C791" s="77" t="str">
        <f>VLOOKUP(B791,IF(A791="COMPOSICAO",S!$A:$D,I!$A:$D),2,FALSE)</f>
        <v>TRANSPORTE - HORISTA (COLETADO CAIXA)</v>
      </c>
      <c r="D791" s="77"/>
      <c r="E791" s="77"/>
      <c r="F791" s="77"/>
      <c r="G791" s="16" t="str">
        <f>VLOOKUP(B791,IF(A791="COMPOSICAO",S!$A:$D,I!$A:$D),3,FALSE)</f>
        <v>H</v>
      </c>
      <c r="H791" s="17">
        <v>1</v>
      </c>
      <c r="I791" s="17">
        <f>IF(A791="COMPOSICAO",VLOOKUP("TOTAL - "&amp;B791,COMPOSICAO_AUX_2!$A:$J,10,FALSE),VLOOKUP(B791,I!$A:$D,4,FALSE))</f>
        <v>0.7</v>
      </c>
      <c r="J791" s="80">
        <f t="shared" si="34"/>
        <v>0.7</v>
      </c>
      <c r="K791" s="81"/>
    </row>
    <row r="792" spans="1:13" ht="15" customHeight="1" x14ac:dyDescent="0.25">
      <c r="A792" s="16" t="s">
        <v>306</v>
      </c>
      <c r="B792" s="20">
        <v>37372</v>
      </c>
      <c r="C792" s="77" t="str">
        <f>VLOOKUP(B792,IF(A792="COMPOSICAO",S!$A:$D,I!$A:$D),2,FALSE)</f>
        <v>EXAMES - HORISTA (COLETADO CAIXA)</v>
      </c>
      <c r="D792" s="77"/>
      <c r="E792" s="77"/>
      <c r="F792" s="77"/>
      <c r="G792" s="16" t="str">
        <f>VLOOKUP(B792,IF(A792="COMPOSICAO",S!$A:$D,I!$A:$D),3,FALSE)</f>
        <v>H</v>
      </c>
      <c r="H792" s="17">
        <v>1</v>
      </c>
      <c r="I792" s="17">
        <f>IF(A792="COMPOSICAO",VLOOKUP("TOTAL - "&amp;B792,COMPOSICAO_AUX_2!$A:$J,10,FALSE),VLOOKUP(B792,I!$A:$D,4,FALSE))</f>
        <v>0.55000000000000004</v>
      </c>
      <c r="J792" s="80">
        <f t="shared" si="34"/>
        <v>0.55000000000000004</v>
      </c>
      <c r="K792" s="81"/>
    </row>
    <row r="793" spans="1:13" ht="15" customHeight="1" x14ac:dyDescent="0.25">
      <c r="A793" s="16" t="s">
        <v>306</v>
      </c>
      <c r="B793" s="20">
        <v>37373</v>
      </c>
      <c r="C793" s="77" t="str">
        <f>VLOOKUP(B793,IF(A793="COMPOSICAO",S!$A:$D,I!$A:$D),2,FALSE)</f>
        <v>SEGURO - HORISTA (COLETADO CAIXA)</v>
      </c>
      <c r="D793" s="77"/>
      <c r="E793" s="77"/>
      <c r="F793" s="77"/>
      <c r="G793" s="16" t="str">
        <f>VLOOKUP(B793,IF(A793="COMPOSICAO",S!$A:$D,I!$A:$D),3,FALSE)</f>
        <v>H</v>
      </c>
      <c r="H793" s="17">
        <v>1</v>
      </c>
      <c r="I793" s="17">
        <f>IF(A793="COMPOSICAO",VLOOKUP("TOTAL - "&amp;B793,COMPOSICAO_AUX_2!$A:$J,10,FALSE),VLOOKUP(B793,I!$A:$D,4,FALSE))</f>
        <v>0.06</v>
      </c>
      <c r="J793" s="80">
        <f t="shared" si="34"/>
        <v>0.06</v>
      </c>
      <c r="K793" s="81"/>
    </row>
    <row r="794" spans="1:13" ht="30" customHeight="1" x14ac:dyDescent="0.25">
      <c r="A794" s="16" t="s">
        <v>306</v>
      </c>
      <c r="B794" s="20">
        <v>43466</v>
      </c>
      <c r="C794" s="77" t="str">
        <f>VLOOKUP(B794,IF(A794="COMPOSICAO",S!$A:$D,I!$A:$D),2,FALSE)</f>
        <v>FERRAMENTAS - FAMILIA PINTOR - HORISTA (ENCARGOS COMPLEMENTARES - COLETADO CAIXA)</v>
      </c>
      <c r="D794" s="77"/>
      <c r="E794" s="77"/>
      <c r="F794" s="77"/>
      <c r="G794" s="16" t="str">
        <f>VLOOKUP(B794,IF(A794="COMPOSICAO",S!$A:$D,I!$A:$D),3,FALSE)</f>
        <v>H</v>
      </c>
      <c r="H794" s="17">
        <v>1</v>
      </c>
      <c r="I794" s="17">
        <f>IF(A794="COMPOSICAO",VLOOKUP("TOTAL - "&amp;B794,COMPOSICAO_AUX_2!$A:$J,10,FALSE),VLOOKUP(B794,I!$A:$D,4,FALSE))</f>
        <v>1.27</v>
      </c>
      <c r="J794" s="80">
        <f t="shared" si="34"/>
        <v>1.27</v>
      </c>
      <c r="K794" s="81"/>
    </row>
    <row r="795" spans="1:13" ht="30" customHeight="1" x14ac:dyDescent="0.25">
      <c r="A795" s="16" t="s">
        <v>306</v>
      </c>
      <c r="B795" s="20">
        <v>43490</v>
      </c>
      <c r="C795" s="77" t="str">
        <f>VLOOKUP(B795,IF(A795="COMPOSICAO",S!$A:$D,I!$A:$D),2,FALSE)</f>
        <v>EPI - FAMILIA PINTOR - HORISTA (ENCARGOS COMPLEMENTARES - COLETADO CAIXA)</v>
      </c>
      <c r="D795" s="77"/>
      <c r="E795" s="77"/>
      <c r="F795" s="77"/>
      <c r="G795" s="16" t="str">
        <f>VLOOKUP(B795,IF(A795="COMPOSICAO",S!$A:$D,I!$A:$D),3,FALSE)</f>
        <v>H</v>
      </c>
      <c r="H795" s="17">
        <v>1</v>
      </c>
      <c r="I795" s="17">
        <f>IF(A795="COMPOSICAO",VLOOKUP("TOTAL - "&amp;B795,COMPOSICAO_AUX_2!$A:$J,10,FALSE),VLOOKUP(B795,I!$A:$D,4,FALSE))</f>
        <v>1.33</v>
      </c>
      <c r="J795" s="80">
        <f t="shared" si="34"/>
        <v>1.33</v>
      </c>
      <c r="K795" s="81"/>
    </row>
    <row r="796" spans="1:13" ht="30" customHeight="1" x14ac:dyDescent="0.25">
      <c r="A796" s="16" t="s">
        <v>302</v>
      </c>
      <c r="B796" s="20">
        <v>95372</v>
      </c>
      <c r="C796" s="77" t="str">
        <f>VLOOKUP(B796,IF(A796="COMPOSICAO",S!$A:$D,I!$A:$D),2,FALSE)</f>
        <v>CURSO DE CAPACITAÇÃO PARA PINTOR (ENCARGOS COMPLEMENTARES) - HORISTA</v>
      </c>
      <c r="D796" s="77"/>
      <c r="E796" s="77"/>
      <c r="F796" s="77"/>
      <c r="G796" s="16" t="str">
        <f>VLOOKUP(B796,IF(A796="COMPOSICAO",S!$A:$D,I!$A:$D),3,FALSE)</f>
        <v>H</v>
      </c>
      <c r="H796" s="17">
        <v>1</v>
      </c>
      <c r="I796" s="17">
        <f>IF(A796="COMPOSICAO",VLOOKUP("TOTAL - "&amp;B796,COMPOSICAO_AUX_2!$A:$J,10,FALSE),VLOOKUP(B796,I!$A:$D,4,FALSE))</f>
        <v>0.15</v>
      </c>
      <c r="J796" s="80">
        <f t="shared" si="34"/>
        <v>0.15</v>
      </c>
      <c r="K796" s="81"/>
    </row>
    <row r="797" spans="1:13" ht="15" customHeight="1" x14ac:dyDescent="0.25">
      <c r="A797" s="23" t="s">
        <v>631</v>
      </c>
      <c r="B797" s="24"/>
      <c r="C797" s="24"/>
      <c r="D797" s="24"/>
      <c r="E797" s="24"/>
      <c r="F797" s="24"/>
      <c r="G797" s="25"/>
      <c r="H797" s="26"/>
      <c r="I797" s="27"/>
      <c r="J797" s="80">
        <f>SUM(J788:K796)</f>
        <v>20.849999999999994</v>
      </c>
      <c r="K797" s="81"/>
    </row>
    <row r="798" spans="1:13" ht="15" customHeight="1" x14ac:dyDescent="0.25">
      <c r="A798" s="3"/>
      <c r="B798" s="3"/>
      <c r="C798" s="3"/>
      <c r="D798" s="3"/>
      <c r="E798" s="3"/>
      <c r="F798" s="3"/>
      <c r="G798" s="3"/>
      <c r="H798" s="3"/>
      <c r="I798" s="3"/>
      <c r="J798" s="3"/>
      <c r="K798" s="3"/>
    </row>
    <row r="799" spans="1:13" ht="15" customHeight="1" x14ac:dyDescent="0.25">
      <c r="A799" s="10" t="s">
        <v>295</v>
      </c>
      <c r="B799" s="10" t="s">
        <v>31</v>
      </c>
      <c r="C799" s="82" t="s">
        <v>7</v>
      </c>
      <c r="D799" s="83"/>
      <c r="E799" s="83"/>
      <c r="F799" s="83"/>
      <c r="G799" s="6" t="s">
        <v>32</v>
      </c>
      <c r="H799" s="6" t="s">
        <v>296</v>
      </c>
      <c r="I799" s="6" t="s">
        <v>297</v>
      </c>
      <c r="J799" s="57" t="s">
        <v>9</v>
      </c>
      <c r="K799" s="58"/>
    </row>
    <row r="800" spans="1:13" ht="15" customHeight="1" x14ac:dyDescent="0.25">
      <c r="A800" s="6" t="s">
        <v>11</v>
      </c>
      <c r="B800" s="6" t="s">
        <v>411</v>
      </c>
      <c r="C800" s="91" t="str">
        <f>VLOOKUP(B800,S!$A:$D,2,FALSE)</f>
        <v>ENCARGOS COMPLEMENTARES - PINTOR</v>
      </c>
      <c r="D800" s="91"/>
      <c r="E800" s="91"/>
      <c r="F800" s="92"/>
      <c r="G800" s="6" t="str">
        <f>VLOOKUP(B800,S!$A:$D,3,FALSE)</f>
        <v>H</v>
      </c>
      <c r="H800" s="21"/>
      <c r="I800" s="21">
        <f>J821</f>
        <v>2.97</v>
      </c>
      <c r="J800" s="76"/>
      <c r="K800" s="72"/>
      <c r="L800" s="21">
        <f>VLOOKUP(B800,S!$A:$D,4,FALSE)</f>
        <v>3.06</v>
      </c>
      <c r="M800" s="6" t="str">
        <f>IF(ROUND((L800-I800),2)=0,"OK, confere com a tabela.",IF(ROUND((L800-I800),2)&lt;0,"ACIMA ("&amp;TEXT(ROUND(I800*100/L800,4),"0,0000")&amp;" %) da tabela.","ABAIXO ("&amp;TEXT(ROUND(I800*100/L800,4),"0,0000")&amp;" %) da tabela."))</f>
        <v>ABAIXO (97,0588 %) da tabela.</v>
      </c>
    </row>
    <row r="801" spans="1:11" ht="15" customHeight="1" x14ac:dyDescent="0.25">
      <c r="A801" s="16" t="s">
        <v>306</v>
      </c>
      <c r="B801" s="16" t="s">
        <v>519</v>
      </c>
      <c r="C801" s="77" t="str">
        <f>VLOOKUP(B801,IF(A801="COMPOSICAO",S!$A:$D,I!$A:$D),2,FALSE)</f>
        <v>ALMOÇO (PARTICIPAÇÃO DO EMPREGADOR)</v>
      </c>
      <c r="D801" s="77"/>
      <c r="E801" s="77"/>
      <c r="F801" s="77"/>
      <c r="G801" s="16" t="str">
        <f>VLOOKUP(B801,IF(A801="COMPOSICAO",S!$A:$D,I!$A:$D),3,FALSE)</f>
        <v>UN</v>
      </c>
      <c r="H801" s="29">
        <v>0.1018</v>
      </c>
      <c r="I801" s="17">
        <f>IF(A801="COMPOSICAO",VLOOKUP("TOTAL - "&amp;B801,COMPOSICAO_AUX_2!$A:$J,10,FALSE),VLOOKUP(B801,I!$A:$D,4,FALSE))</f>
        <v>10</v>
      </c>
      <c r="J801" s="80">
        <f t="shared" ref="J801:J820" si="35">TRUNC(H801*I801,2)</f>
        <v>1.01</v>
      </c>
      <c r="K801" s="81"/>
    </row>
    <row r="802" spans="1:11" ht="15" customHeight="1" x14ac:dyDescent="0.25">
      <c r="A802" s="16" t="s">
        <v>306</v>
      </c>
      <c r="B802" s="16" t="s">
        <v>520</v>
      </c>
      <c r="C802" s="77" t="str">
        <f>VLOOKUP(B802,IF(A802="COMPOSICAO",S!$A:$D,I!$A:$D),2,FALSE)</f>
        <v>FARDAMENTO</v>
      </c>
      <c r="D802" s="77"/>
      <c r="E802" s="77"/>
      <c r="F802" s="77"/>
      <c r="G802" s="16" t="str">
        <f>VLOOKUP(B802,IF(A802="COMPOSICAO",S!$A:$D,I!$A:$D),3,FALSE)</f>
        <v>UN</v>
      </c>
      <c r="H802" s="29">
        <v>1.5E-3</v>
      </c>
      <c r="I802" s="17">
        <f>IF(A802="COMPOSICAO",VLOOKUP("TOTAL - "&amp;B802,COMPOSICAO_AUX_2!$A:$J,10,FALSE),VLOOKUP(B802,I!$A:$D,4,FALSE))</f>
        <v>78.53</v>
      </c>
      <c r="J802" s="80">
        <f t="shared" si="35"/>
        <v>0.11</v>
      </c>
      <c r="K802" s="81"/>
    </row>
    <row r="803" spans="1:11" ht="15" customHeight="1" x14ac:dyDescent="0.25">
      <c r="A803" s="16" t="s">
        <v>306</v>
      </c>
      <c r="B803" s="16" t="s">
        <v>521</v>
      </c>
      <c r="C803" s="77" t="str">
        <f>VLOOKUP(B803,IF(A803="COMPOSICAO",S!$A:$D,I!$A:$D),2,FALSE)</f>
        <v>ÓCULOS BRANCO PROTEÇÃO</v>
      </c>
      <c r="D803" s="77"/>
      <c r="E803" s="77"/>
      <c r="F803" s="77"/>
      <c r="G803" s="16" t="str">
        <f>VLOOKUP(B803,IF(A803="COMPOSICAO",S!$A:$D,I!$A:$D),3,FALSE)</f>
        <v>PR</v>
      </c>
      <c r="H803" s="29">
        <v>8.0000000000000004E-4</v>
      </c>
      <c r="I803" s="17">
        <f>IF(A803="COMPOSICAO",VLOOKUP("TOTAL - "&amp;B803,COMPOSICAO_AUX_2!$A:$J,10,FALSE),VLOOKUP(B803,I!$A:$D,4,FALSE))</f>
        <v>5.9</v>
      </c>
      <c r="J803" s="80">
        <f t="shared" si="35"/>
        <v>0</v>
      </c>
      <c r="K803" s="81"/>
    </row>
    <row r="804" spans="1:11" ht="15" customHeight="1" x14ac:dyDescent="0.25">
      <c r="A804" s="16" t="s">
        <v>306</v>
      </c>
      <c r="B804" s="16" t="s">
        <v>522</v>
      </c>
      <c r="C804" s="77" t="str">
        <f>VLOOKUP(B804,IF(A804="COMPOSICAO",S!$A:$D,I!$A:$D),2,FALSE)</f>
        <v>VALE TRANSPORTE</v>
      </c>
      <c r="D804" s="77"/>
      <c r="E804" s="77"/>
      <c r="F804" s="77"/>
      <c r="G804" s="16" t="str">
        <f>VLOOKUP(B804,IF(A804="COMPOSICAO",S!$A:$D,I!$A:$D),3,FALSE)</f>
        <v>UN</v>
      </c>
      <c r="H804" s="29">
        <v>6.54E-2</v>
      </c>
      <c r="I804" s="17">
        <f>IF(A804="COMPOSICAO",VLOOKUP("TOTAL - "&amp;B804,COMPOSICAO_AUX_2!$A:$J,10,FALSE),VLOOKUP(B804,I!$A:$D,4,FALSE))</f>
        <v>4</v>
      </c>
      <c r="J804" s="80">
        <f t="shared" si="35"/>
        <v>0.26</v>
      </c>
      <c r="K804" s="81"/>
    </row>
    <row r="805" spans="1:11" ht="30" customHeight="1" x14ac:dyDescent="0.25">
      <c r="A805" s="16" t="s">
        <v>306</v>
      </c>
      <c r="B805" s="16" t="s">
        <v>617</v>
      </c>
      <c r="C805" s="77" t="str">
        <f>VLOOKUP(B805,IF(A805="COMPOSICAO",S!$A:$D,I!$A:$D),2,FALSE)</f>
        <v>DESEMPENADEIRA DE AÇO LISA, CABO MADEIRA, REF:143, ATLAS OU SIMILAR</v>
      </c>
      <c r="D805" s="77"/>
      <c r="E805" s="77"/>
      <c r="F805" s="77"/>
      <c r="G805" s="16" t="str">
        <f>VLOOKUP(B805,IF(A805="COMPOSICAO",S!$A:$D,I!$A:$D),3,FALSE)</f>
        <v>UN</v>
      </c>
      <c r="H805" s="29">
        <v>5.0000000000000001E-4</v>
      </c>
      <c r="I805" s="17">
        <f>IF(A805="COMPOSICAO",VLOOKUP("TOTAL - "&amp;B805,COMPOSICAO_AUX_2!$A:$J,10,FALSE),VLOOKUP(B805,I!$A:$D,4,FALSE))</f>
        <v>10.8</v>
      </c>
      <c r="J805" s="80">
        <f t="shared" si="35"/>
        <v>0</v>
      </c>
      <c r="K805" s="81"/>
    </row>
    <row r="806" spans="1:11" ht="15" customHeight="1" x14ac:dyDescent="0.25">
      <c r="A806" s="16" t="s">
        <v>306</v>
      </c>
      <c r="B806" s="16" t="s">
        <v>632</v>
      </c>
      <c r="C806" s="77" t="str">
        <f>VLOOKUP(B806,IF(A806="COMPOSICAO",S!$A:$D,I!$A:$D),2,FALSE)</f>
        <v>ESPÁTULA</v>
      </c>
      <c r="D806" s="77"/>
      <c r="E806" s="77"/>
      <c r="F806" s="77"/>
      <c r="G806" s="16" t="str">
        <f>VLOOKUP(B806,IF(A806="COMPOSICAO",S!$A:$D,I!$A:$D),3,FALSE)</f>
        <v>UN</v>
      </c>
      <c r="H806" s="29">
        <v>4.0000000000000002E-4</v>
      </c>
      <c r="I806" s="17">
        <f>IF(A806="COMPOSICAO",VLOOKUP("TOTAL - "&amp;B806,COMPOSICAO_AUX_2!$A:$J,10,FALSE),VLOOKUP(B806,I!$A:$D,4,FALSE))</f>
        <v>21.49</v>
      </c>
      <c r="J806" s="80">
        <f t="shared" si="35"/>
        <v>0</v>
      </c>
      <c r="K806" s="81"/>
    </row>
    <row r="807" spans="1:11" ht="15" customHeight="1" x14ac:dyDescent="0.25">
      <c r="A807" s="16" t="s">
        <v>306</v>
      </c>
      <c r="B807" s="16" t="s">
        <v>525</v>
      </c>
      <c r="C807" s="77" t="str">
        <f>VLOOKUP(B807,IF(A807="COMPOSICAO",S!$A:$D,I!$A:$D),2,FALSE)</f>
        <v>SEGURO DE VIDA E ACIDENTE EM GRUPO</v>
      </c>
      <c r="D807" s="77"/>
      <c r="E807" s="77"/>
      <c r="F807" s="77"/>
      <c r="G807" s="16" t="str">
        <f>VLOOKUP(B807,IF(A807="COMPOSICAO",S!$A:$D,I!$A:$D),3,FALSE)</f>
        <v>UN</v>
      </c>
      <c r="H807" s="29">
        <v>4.4999999999999997E-3</v>
      </c>
      <c r="I807" s="17">
        <f>IF(A807="COMPOSICAO",VLOOKUP("TOTAL - "&amp;B807,COMPOSICAO_AUX_2!$A:$J,10,FALSE),VLOOKUP(B807,I!$A:$D,4,FALSE))</f>
        <v>12.54</v>
      </c>
      <c r="J807" s="80">
        <f t="shared" si="35"/>
        <v>0.05</v>
      </c>
      <c r="K807" s="81"/>
    </row>
    <row r="808" spans="1:11" ht="15" customHeight="1" x14ac:dyDescent="0.25">
      <c r="A808" s="16" t="s">
        <v>306</v>
      </c>
      <c r="B808" s="16" t="s">
        <v>526</v>
      </c>
      <c r="C808" s="77" t="str">
        <f>VLOOKUP(B808,IF(A808="COMPOSICAO",S!$A:$D,I!$A:$D),2,FALSE)</f>
        <v>CESTA BÁSICA</v>
      </c>
      <c r="D808" s="77"/>
      <c r="E808" s="77"/>
      <c r="F808" s="77"/>
      <c r="G808" s="16" t="str">
        <f>VLOOKUP(B808,IF(A808="COMPOSICAO",S!$A:$D,I!$A:$D),3,FALSE)</f>
        <v>UN</v>
      </c>
      <c r="H808" s="29">
        <v>4.4999999999999997E-3</v>
      </c>
      <c r="I808" s="17">
        <f>IF(A808="COMPOSICAO",VLOOKUP("TOTAL - "&amp;B808,COMPOSICAO_AUX_2!$A:$J,10,FALSE),VLOOKUP(B808,I!$A:$D,4,FALSE))</f>
        <v>140</v>
      </c>
      <c r="J808" s="80">
        <f t="shared" si="35"/>
        <v>0.63</v>
      </c>
      <c r="K808" s="81"/>
    </row>
    <row r="809" spans="1:11" ht="15" customHeight="1" x14ac:dyDescent="0.25">
      <c r="A809" s="16" t="s">
        <v>306</v>
      </c>
      <c r="B809" s="16" t="s">
        <v>527</v>
      </c>
      <c r="C809" s="77" t="str">
        <f>VLOOKUP(B809,IF(A809="COMPOSICAO",S!$A:$D,I!$A:$D),2,FALSE)</f>
        <v>EXAMES ADMISSIONAIS/DEMISSIONAIS (CHECKUP)</v>
      </c>
      <c r="D809" s="77"/>
      <c r="E809" s="77"/>
      <c r="F809" s="77"/>
      <c r="G809" s="16" t="str">
        <f>VLOOKUP(B809,IF(A809="COMPOSICAO",S!$A:$D,I!$A:$D),3,FALSE)</f>
        <v>CJ</v>
      </c>
      <c r="H809" s="29">
        <v>4.0000000000000002E-4</v>
      </c>
      <c r="I809" s="17">
        <f>IF(A809="COMPOSICAO",VLOOKUP("TOTAL - "&amp;B809,COMPOSICAO_AUX_2!$A:$J,10,FALSE),VLOOKUP(B809,I!$A:$D,4,FALSE))</f>
        <v>300</v>
      </c>
      <c r="J809" s="80">
        <f t="shared" si="35"/>
        <v>0.12</v>
      </c>
      <c r="K809" s="81"/>
    </row>
    <row r="810" spans="1:11" ht="15" customHeight="1" x14ac:dyDescent="0.25">
      <c r="A810" s="16" t="s">
        <v>306</v>
      </c>
      <c r="B810" s="16" t="s">
        <v>633</v>
      </c>
      <c r="C810" s="77" t="str">
        <f>VLOOKUP(B810,IF(A810="COMPOSICAO",S!$A:$D,I!$A:$D),2,FALSE)</f>
        <v>TRINCHA 3"</v>
      </c>
      <c r="D810" s="77"/>
      <c r="E810" s="77"/>
      <c r="F810" s="77"/>
      <c r="G810" s="16" t="str">
        <f>VLOOKUP(B810,IF(A810="COMPOSICAO",S!$A:$D,I!$A:$D),3,FALSE)</f>
        <v>UN</v>
      </c>
      <c r="H810" s="29">
        <v>4.4999999999999997E-3</v>
      </c>
      <c r="I810" s="17">
        <f>IF(A810="COMPOSICAO",VLOOKUP("TOTAL - "&amp;B810,COMPOSICAO_AUX_2!$A:$J,10,FALSE),VLOOKUP(B810,I!$A:$D,4,FALSE))</f>
        <v>5.6</v>
      </c>
      <c r="J810" s="80">
        <f t="shared" si="35"/>
        <v>0.02</v>
      </c>
      <c r="K810" s="81"/>
    </row>
    <row r="811" spans="1:11" ht="15" customHeight="1" x14ac:dyDescent="0.25">
      <c r="A811" s="16" t="s">
        <v>306</v>
      </c>
      <c r="B811" s="16" t="s">
        <v>528</v>
      </c>
      <c r="C811" s="77" t="str">
        <f>VLOOKUP(B811,IF(A811="COMPOSICAO",S!$A:$D,I!$A:$D),2,FALSE)</f>
        <v>PROTETOR AURICULAR</v>
      </c>
      <c r="D811" s="77"/>
      <c r="E811" s="77"/>
      <c r="F811" s="77"/>
      <c r="G811" s="16" t="str">
        <f>VLOOKUP(B811,IF(A811="COMPOSICAO",S!$A:$D,I!$A:$D),3,FALSE)</f>
        <v>UN</v>
      </c>
      <c r="H811" s="29">
        <v>4.4999999999999997E-3</v>
      </c>
      <c r="I811" s="17">
        <f>IF(A811="COMPOSICAO",VLOOKUP("TOTAL - "&amp;B811,COMPOSICAO_AUX_2!$A:$J,10,FALSE),VLOOKUP(B811,I!$A:$D,4,FALSE))</f>
        <v>4.9000000000000004</v>
      </c>
      <c r="J811" s="80">
        <f t="shared" si="35"/>
        <v>0.02</v>
      </c>
      <c r="K811" s="81"/>
    </row>
    <row r="812" spans="1:11" ht="15" customHeight="1" x14ac:dyDescent="0.25">
      <c r="A812" s="16" t="s">
        <v>306</v>
      </c>
      <c r="B812" s="16" t="s">
        <v>529</v>
      </c>
      <c r="C812" s="77" t="str">
        <f>VLOOKUP(B812,IF(A812="COMPOSICAO",S!$A:$D,I!$A:$D),2,FALSE)</f>
        <v>PROTETOR SOLAR FPS 30 COM 120ML</v>
      </c>
      <c r="D812" s="77"/>
      <c r="E812" s="77"/>
      <c r="F812" s="77"/>
      <c r="G812" s="16" t="str">
        <f>VLOOKUP(B812,IF(A812="COMPOSICAO",S!$A:$D,I!$A:$D),3,FALSE)</f>
        <v>UN</v>
      </c>
      <c r="H812" s="29">
        <v>1.8E-3</v>
      </c>
      <c r="I812" s="17">
        <f>IF(A812="COMPOSICAO",VLOOKUP("TOTAL - "&amp;B812,COMPOSICAO_AUX_2!$A:$J,10,FALSE),VLOOKUP(B812,I!$A:$D,4,FALSE))</f>
        <v>35.9</v>
      </c>
      <c r="J812" s="80">
        <f t="shared" si="35"/>
        <v>0.06</v>
      </c>
      <c r="K812" s="81"/>
    </row>
    <row r="813" spans="1:11" ht="30" customHeight="1" x14ac:dyDescent="0.25">
      <c r="A813" s="16" t="s">
        <v>306</v>
      </c>
      <c r="B813" s="16" t="s">
        <v>530</v>
      </c>
      <c r="C813" s="77" t="str">
        <f>VLOOKUP(B813,IF(A813="COMPOSICAO",S!$A:$D,I!$A:$D),2,FALSE)</f>
        <v>REFEIÇÃO - CAFÉ DA MANHÃ ( CAFÉ COM LEITE E DOIS PÃES COM MANTEIGA)</v>
      </c>
      <c r="D813" s="77"/>
      <c r="E813" s="77"/>
      <c r="F813" s="77"/>
      <c r="G813" s="16" t="str">
        <f>VLOOKUP(B813,IF(A813="COMPOSICAO",S!$A:$D,I!$A:$D),3,FALSE)</f>
        <v>UN</v>
      </c>
      <c r="H813" s="29">
        <v>0.1018</v>
      </c>
      <c r="I813" s="17">
        <f>IF(A813="COMPOSICAO",VLOOKUP("TOTAL - "&amp;B813,COMPOSICAO_AUX_2!$A:$J,10,FALSE),VLOOKUP(B813,I!$A:$D,4,FALSE))</f>
        <v>4.5</v>
      </c>
      <c r="J813" s="80">
        <f t="shared" si="35"/>
        <v>0.45</v>
      </c>
      <c r="K813" s="81"/>
    </row>
    <row r="814" spans="1:11" ht="15" customHeight="1" x14ac:dyDescent="0.25">
      <c r="A814" s="16" t="s">
        <v>306</v>
      </c>
      <c r="B814" s="16" t="s">
        <v>634</v>
      </c>
      <c r="C814" s="77" t="str">
        <f>VLOOKUP(B814,IF(A814="COMPOSICAO",S!$A:$D,I!$A:$D),2,FALSE)</f>
        <v>ROLO LÃ DE CARNEIRO 20CM</v>
      </c>
      <c r="D814" s="77"/>
      <c r="E814" s="77"/>
      <c r="F814" s="77"/>
      <c r="G814" s="16" t="str">
        <f>VLOOKUP(B814,IF(A814="COMPOSICAO",S!$A:$D,I!$A:$D),3,FALSE)</f>
        <v>UN</v>
      </c>
      <c r="H814" s="29">
        <v>2.3E-3</v>
      </c>
      <c r="I814" s="17">
        <f>IF(A814="COMPOSICAO",VLOOKUP("TOTAL - "&amp;B814,COMPOSICAO_AUX_2!$A:$J,10,FALSE),VLOOKUP(B814,I!$A:$D,4,FALSE))</f>
        <v>15.9</v>
      </c>
      <c r="J814" s="80">
        <f t="shared" si="35"/>
        <v>0.03</v>
      </c>
      <c r="K814" s="81"/>
    </row>
    <row r="815" spans="1:11" ht="15" customHeight="1" x14ac:dyDescent="0.25">
      <c r="A815" s="16" t="s">
        <v>306</v>
      </c>
      <c r="B815" s="16" t="s">
        <v>635</v>
      </c>
      <c r="C815" s="77" t="str">
        <f>VLOOKUP(B815,IF(A815="COMPOSICAO",S!$A:$D,I!$A:$D),2,FALSE)</f>
        <v>PINCEL DE SEDA 2"</v>
      </c>
      <c r="D815" s="77"/>
      <c r="E815" s="77"/>
      <c r="F815" s="77"/>
      <c r="G815" s="16" t="str">
        <f>VLOOKUP(B815,IF(A815="COMPOSICAO",S!$A:$D,I!$A:$D),3,FALSE)</f>
        <v>UN</v>
      </c>
      <c r="H815" s="29">
        <v>4.4999999999999997E-3</v>
      </c>
      <c r="I815" s="17">
        <f>IF(A815="COMPOSICAO",VLOOKUP("TOTAL - "&amp;B815,COMPOSICAO_AUX_2!$A:$J,10,FALSE),VLOOKUP(B815,I!$A:$D,4,FALSE))</f>
        <v>28.3</v>
      </c>
      <c r="J815" s="80">
        <f t="shared" si="35"/>
        <v>0.12</v>
      </c>
      <c r="K815" s="81"/>
    </row>
    <row r="816" spans="1:11" ht="15" customHeight="1" x14ac:dyDescent="0.25">
      <c r="A816" s="16" t="s">
        <v>306</v>
      </c>
      <c r="B816" s="16" t="s">
        <v>636</v>
      </c>
      <c r="C816" s="77" t="str">
        <f>VLOOKUP(B816,IF(A816="COMPOSICAO",S!$A:$D,I!$A:$D),2,FALSE)</f>
        <v>ESCADA DE ALUMINIO DE ABRIR COM 7 DEGRAUS</v>
      </c>
      <c r="D816" s="77"/>
      <c r="E816" s="77"/>
      <c r="F816" s="77"/>
      <c r="G816" s="16" t="str">
        <f>VLOOKUP(B816,IF(A816="COMPOSICAO",S!$A:$D,I!$A:$D),3,FALSE)</f>
        <v>UN</v>
      </c>
      <c r="H816" s="29">
        <v>1E-4</v>
      </c>
      <c r="I816" s="17">
        <f>IF(A816="COMPOSICAO",VLOOKUP("TOTAL - "&amp;B816,COMPOSICAO_AUX_2!$A:$J,10,FALSE),VLOOKUP(B816,I!$A:$D,4,FALSE))</f>
        <v>238.8</v>
      </c>
      <c r="J816" s="80">
        <f t="shared" si="35"/>
        <v>0.02</v>
      </c>
      <c r="K816" s="81"/>
    </row>
    <row r="817" spans="1:13" ht="30" customHeight="1" x14ac:dyDescent="0.25">
      <c r="A817" s="16" t="s">
        <v>306</v>
      </c>
      <c r="B817" s="20">
        <v>12892</v>
      </c>
      <c r="C817" s="77" t="str">
        <f>VLOOKUP(B817,IF(A817="COMPOSICAO",S!$A:$D,I!$A:$D),2,FALSE)</f>
        <v>LUVA RASPA DE COURO, CANO CURTO (PUNHO *7* CM)</v>
      </c>
      <c r="D817" s="77"/>
      <c r="E817" s="77"/>
      <c r="F817" s="77"/>
      <c r="G817" s="16" t="str">
        <f>VLOOKUP(B817,IF(A817="COMPOSICAO",S!$A:$D,I!$A:$D),3,FALSE)</f>
        <v>PAR</v>
      </c>
      <c r="H817" s="29">
        <v>2.3E-3</v>
      </c>
      <c r="I817" s="17">
        <f>IF(A817="COMPOSICAO",VLOOKUP("TOTAL - "&amp;B817,COMPOSICAO_AUX_2!$A:$J,10,FALSE),VLOOKUP(B817,I!$A:$D,4,FALSE))</f>
        <v>12.91</v>
      </c>
      <c r="J817" s="80">
        <f t="shared" si="35"/>
        <v>0.02</v>
      </c>
      <c r="K817" s="81"/>
    </row>
    <row r="818" spans="1:13" ht="30" customHeight="1" x14ac:dyDescent="0.25">
      <c r="A818" s="16" t="s">
        <v>306</v>
      </c>
      <c r="B818" s="20">
        <v>12893</v>
      </c>
      <c r="C818" s="77" t="str">
        <f>VLOOKUP(B818,IF(A818="COMPOSICAO",S!$A:$D,I!$A:$D),2,FALSE)</f>
        <v>BOTA DE SEGURANCA COM BIQUEIRA DE ACO E COLARINHO ACOLCHOADO</v>
      </c>
      <c r="D818" s="77"/>
      <c r="E818" s="77"/>
      <c r="F818" s="77"/>
      <c r="G818" s="16" t="str">
        <f>VLOOKUP(B818,IF(A818="COMPOSICAO",S!$A:$D,I!$A:$D),3,FALSE)</f>
        <v>PAR</v>
      </c>
      <c r="H818" s="29">
        <v>8.0000000000000004E-4</v>
      </c>
      <c r="I818" s="17">
        <f>IF(A818="COMPOSICAO",VLOOKUP("TOTAL - "&amp;B818,COMPOSICAO_AUX_2!$A:$J,10,FALSE),VLOOKUP(B818,I!$A:$D,4,FALSE))</f>
        <v>68.88</v>
      </c>
      <c r="J818" s="80">
        <f t="shared" si="35"/>
        <v>0.05</v>
      </c>
      <c r="K818" s="81"/>
    </row>
    <row r="819" spans="1:13" ht="30" customHeight="1" x14ac:dyDescent="0.25">
      <c r="A819" s="16" t="s">
        <v>306</v>
      </c>
      <c r="B819" s="20">
        <v>12894</v>
      </c>
      <c r="C819" s="77" t="str">
        <f>VLOOKUP(B819,IF(A819="COMPOSICAO",S!$A:$D,I!$A:$D),2,FALSE)</f>
        <v>CAPA PARA CHUVA EM PVC COM FORRO DE POLIESTER, COM CAPUZ (AMARELA OU AZUL)</v>
      </c>
      <c r="D819" s="77"/>
      <c r="E819" s="77"/>
      <c r="F819" s="77"/>
      <c r="G819" s="16" t="str">
        <f>VLOOKUP(B819,IF(A819="COMPOSICAO",S!$A:$D,I!$A:$D),3,FALSE)</f>
        <v>UN</v>
      </c>
      <c r="H819" s="29">
        <v>2.0000000000000001E-4</v>
      </c>
      <c r="I819" s="17">
        <f>IF(A819="COMPOSICAO",VLOOKUP("TOTAL - "&amp;B819,COMPOSICAO_AUX_2!$A:$J,10,FALSE),VLOOKUP(B819,I!$A:$D,4,FALSE))</f>
        <v>18.649999999999999</v>
      </c>
      <c r="J819" s="80">
        <f t="shared" si="35"/>
        <v>0</v>
      </c>
      <c r="K819" s="81"/>
    </row>
    <row r="820" spans="1:13" ht="30" customHeight="1" x14ac:dyDescent="0.25">
      <c r="A820" s="16" t="s">
        <v>306</v>
      </c>
      <c r="B820" s="20">
        <v>12895</v>
      </c>
      <c r="C820" s="77" t="str">
        <f>VLOOKUP(B820,IF(A820="COMPOSICAO",S!$A:$D,I!$A:$D),2,FALSE)</f>
        <v>CAPACETE DE SEGURANCA ABA FRONTAL COM SUSPENSAO DE POLIETILENO, SEM JUGULAR (CLASSE B)</v>
      </c>
      <c r="D820" s="77"/>
      <c r="E820" s="77"/>
      <c r="F820" s="77"/>
      <c r="G820" s="16" t="str">
        <f>VLOOKUP(B820,IF(A820="COMPOSICAO",S!$A:$D,I!$A:$D),3,FALSE)</f>
        <v>UN</v>
      </c>
      <c r="H820" s="29">
        <v>5.9999999999999995E-4</v>
      </c>
      <c r="I820" s="17">
        <f>IF(A820="COMPOSICAO",VLOOKUP("TOTAL - "&amp;B820,COMPOSICAO_AUX_2!$A:$J,10,FALSE),VLOOKUP(B820,I!$A:$D,4,FALSE))</f>
        <v>14.35</v>
      </c>
      <c r="J820" s="80">
        <f t="shared" si="35"/>
        <v>0</v>
      </c>
      <c r="K820" s="81"/>
    </row>
    <row r="821" spans="1:13" ht="15" customHeight="1" x14ac:dyDescent="0.25">
      <c r="A821" s="23" t="s">
        <v>637</v>
      </c>
      <c r="B821" s="24"/>
      <c r="C821" s="24"/>
      <c r="D821" s="24"/>
      <c r="E821" s="24"/>
      <c r="F821" s="24"/>
      <c r="G821" s="25"/>
      <c r="H821" s="26"/>
      <c r="I821" s="27"/>
      <c r="J821" s="80">
        <f>SUM(J800:K820)</f>
        <v>2.97</v>
      </c>
      <c r="K821" s="81"/>
    </row>
    <row r="822" spans="1:13" ht="15" customHeight="1" x14ac:dyDescent="0.25">
      <c r="A822" s="3"/>
      <c r="B822" s="3"/>
      <c r="C822" s="3"/>
      <c r="D822" s="3"/>
      <c r="E822" s="3"/>
      <c r="F822" s="3"/>
      <c r="G822" s="3"/>
      <c r="H822" s="3"/>
      <c r="I822" s="3"/>
      <c r="J822" s="3"/>
      <c r="K822" s="3"/>
    </row>
    <row r="823" spans="1:13" ht="15" customHeight="1" x14ac:dyDescent="0.25">
      <c r="A823" s="10" t="s">
        <v>295</v>
      </c>
      <c r="B823" s="10" t="s">
        <v>31</v>
      </c>
      <c r="C823" s="82" t="s">
        <v>7</v>
      </c>
      <c r="D823" s="83"/>
      <c r="E823" s="83"/>
      <c r="F823" s="83"/>
      <c r="G823" s="6" t="s">
        <v>32</v>
      </c>
      <c r="H823" s="6" t="s">
        <v>296</v>
      </c>
      <c r="I823" s="6" t="s">
        <v>297</v>
      </c>
      <c r="J823" s="57" t="s">
        <v>9</v>
      </c>
      <c r="K823" s="58"/>
    </row>
    <row r="824" spans="1:13" ht="45" customHeight="1" x14ac:dyDescent="0.25">
      <c r="A824" s="6" t="s">
        <v>413</v>
      </c>
      <c r="B824" s="28">
        <v>89356</v>
      </c>
      <c r="C824" s="91" t="str">
        <f>VLOOKUP(B824,S!$A:$D,2,FALSE)</f>
        <v>TUBO, PVC, SOLDÁVEL, DN 25MM, INSTALADO EM RAMAL OU SUB-RAMAL DE ÁGUA - FORNECIMENTO E INSTALAÇÃO. AF_12/2014</v>
      </c>
      <c r="D824" s="91"/>
      <c r="E824" s="91"/>
      <c r="F824" s="92"/>
      <c r="G824" s="6" t="str">
        <f>VLOOKUP(B824,S!$A:$D,3,FALSE)</f>
        <v>M</v>
      </c>
      <c r="H824" s="21"/>
      <c r="I824" s="21">
        <f>J829</f>
        <v>17.259999999999998</v>
      </c>
      <c r="J824" s="76"/>
      <c r="K824" s="72"/>
      <c r="L824" s="21">
        <f>VLOOKUP(B824,S!$A:$D,4,FALSE)</f>
        <v>17.260000000000002</v>
      </c>
      <c r="M824" s="6" t="str">
        <f>IF(ROUND((L824-I824),2)=0,"OK, confere com a tabela.",IF(ROUND((L824-I824),2)&lt;0,"ACIMA ("&amp;TEXT(ROUND(I824*100/L824,4),"0,0000")&amp;" %) da tabela.","ABAIXO ("&amp;TEXT(ROUND(I824*100/L824,4),"0,0000")&amp;" %) da tabela."))</f>
        <v>OK, confere com a tabela.</v>
      </c>
    </row>
    <row r="825" spans="1:13" ht="30" customHeight="1" x14ac:dyDescent="0.25">
      <c r="A825" s="16" t="s">
        <v>306</v>
      </c>
      <c r="B825" s="20">
        <v>9868</v>
      </c>
      <c r="C825" s="77" t="str">
        <f>VLOOKUP(B825,IF(A825="COMPOSICAO",S!$A:$D,I!$A:$D),2,FALSE)</f>
        <v>TUBO PVC, SOLDAVEL, DN 25 MM, AGUA FRIA (NBR-5648)</v>
      </c>
      <c r="D825" s="77"/>
      <c r="E825" s="77"/>
      <c r="F825" s="77"/>
      <c r="G825" s="16" t="str">
        <f>VLOOKUP(B825,IF(A825="COMPOSICAO",S!$A:$D,I!$A:$D),3,FALSE)</f>
        <v>M</v>
      </c>
      <c r="H825" s="30">
        <v>1.0609999999999999</v>
      </c>
      <c r="I825" s="17">
        <f>IF(A825="COMPOSICAO",VLOOKUP("TOTAL - "&amp;B825,COMPOSICAO_AUX_2!$A:$J,10,FALSE),VLOOKUP(B825,I!$A:$D,4,FALSE))</f>
        <v>4.0999999999999996</v>
      </c>
      <c r="J825" s="80">
        <f>TRUNC(H825*I825,2)</f>
        <v>4.3499999999999996</v>
      </c>
      <c r="K825" s="81"/>
    </row>
    <row r="826" spans="1:13" ht="15" customHeight="1" x14ac:dyDescent="0.25">
      <c r="A826" s="16" t="s">
        <v>306</v>
      </c>
      <c r="B826" s="20">
        <v>38383</v>
      </c>
      <c r="C826" s="77" t="str">
        <f>VLOOKUP(B826,IF(A826="COMPOSICAO",S!$A:$D,I!$A:$D),2,FALSE)</f>
        <v>LIXA D'AGUA EM FOLHA, GRAO 100</v>
      </c>
      <c r="D826" s="77"/>
      <c r="E826" s="77"/>
      <c r="F826" s="77"/>
      <c r="G826" s="16" t="str">
        <f>VLOOKUP(B826,IF(A826="COMPOSICAO",S!$A:$D,I!$A:$D),3,FALSE)</f>
        <v>UN</v>
      </c>
      <c r="H826" s="30">
        <v>0.123</v>
      </c>
      <c r="I826" s="17">
        <f>IF(A826="COMPOSICAO",VLOOKUP("TOTAL - "&amp;B826,COMPOSICAO_AUX_2!$A:$J,10,FALSE),VLOOKUP(B826,I!$A:$D,4,FALSE))</f>
        <v>2.06</v>
      </c>
      <c r="J826" s="80">
        <f>TRUNC(H826*I826,2)</f>
        <v>0.25</v>
      </c>
      <c r="K826" s="81"/>
    </row>
    <row r="827" spans="1:13" ht="30" customHeight="1" x14ac:dyDescent="0.25">
      <c r="A827" s="16" t="s">
        <v>302</v>
      </c>
      <c r="B827" s="20">
        <v>88248</v>
      </c>
      <c r="C827" s="77" t="str">
        <f>VLOOKUP(B827,IF(A827="COMPOSICAO",S!$A:$D,I!$A:$D),2,FALSE)</f>
        <v>AUXILIAR DE ENCANADOR OU BOMBEIRO HIDRÁULICO COM ENCARGOS COMPLEMENTARES</v>
      </c>
      <c r="D827" s="77"/>
      <c r="E827" s="77"/>
      <c r="F827" s="77"/>
      <c r="G827" s="16" t="str">
        <f>VLOOKUP(B827,IF(A827="COMPOSICAO",S!$A:$D,I!$A:$D),3,FALSE)</f>
        <v>H</v>
      </c>
      <c r="H827" s="30">
        <v>0.36899999999999999</v>
      </c>
      <c r="I827" s="17">
        <f>IF(A827="COMPOSICAO",VLOOKUP("TOTAL - "&amp;B827,COMPOSICAO_AUX_2!$A:$J,10,FALSE),VLOOKUP(B827,I!$A:$D,4,FALSE))</f>
        <v>14.96</v>
      </c>
      <c r="J827" s="80">
        <f>TRUNC(H827*I827,2)</f>
        <v>5.52</v>
      </c>
      <c r="K827" s="81"/>
    </row>
    <row r="828" spans="1:13" ht="30" customHeight="1" x14ac:dyDescent="0.25">
      <c r="A828" s="16" t="s">
        <v>302</v>
      </c>
      <c r="B828" s="20">
        <v>88267</v>
      </c>
      <c r="C828" s="77" t="str">
        <f>VLOOKUP(B828,IF(A828="COMPOSICAO",S!$A:$D,I!$A:$D),2,FALSE)</f>
        <v>ENCANADOR OU BOMBEIRO HIDRÁULICO COM ENCARGOS COMPLEMENTARES</v>
      </c>
      <c r="D828" s="77"/>
      <c r="E828" s="77"/>
      <c r="F828" s="77"/>
      <c r="G828" s="16" t="str">
        <f>VLOOKUP(B828,IF(A828="COMPOSICAO",S!$A:$D,I!$A:$D),3,FALSE)</f>
        <v>H</v>
      </c>
      <c r="H828" s="30">
        <v>0.36899999999999999</v>
      </c>
      <c r="I828" s="17">
        <f>IF(A828="COMPOSICAO",VLOOKUP("TOTAL - "&amp;B828,COMPOSICAO_AUX_2!$A:$J,10,FALSE),VLOOKUP(B828,I!$A:$D,4,FALSE))</f>
        <v>19.37</v>
      </c>
      <c r="J828" s="80">
        <f>TRUNC(H828*I828,2)</f>
        <v>7.14</v>
      </c>
      <c r="K828" s="81"/>
    </row>
    <row r="829" spans="1:13" ht="15" customHeight="1" x14ac:dyDescent="0.25">
      <c r="A829" s="23" t="s">
        <v>638</v>
      </c>
      <c r="B829" s="24"/>
      <c r="C829" s="24"/>
      <c r="D829" s="24"/>
      <c r="E829" s="24"/>
      <c r="F829" s="24"/>
      <c r="G829" s="25"/>
      <c r="H829" s="26"/>
      <c r="I829" s="27"/>
      <c r="J829" s="80">
        <f>SUM(J824:K828)</f>
        <v>17.259999999999998</v>
      </c>
      <c r="K829" s="81"/>
    </row>
    <row r="830" spans="1:13" ht="15" customHeight="1" x14ac:dyDescent="0.25">
      <c r="A830" s="3"/>
      <c r="B830" s="3"/>
      <c r="C830" s="3"/>
      <c r="D830" s="3"/>
      <c r="E830" s="3"/>
      <c r="F830" s="3"/>
      <c r="G830" s="3"/>
      <c r="H830" s="3"/>
      <c r="I830" s="3"/>
      <c r="J830" s="3"/>
      <c r="K830" s="3"/>
    </row>
    <row r="831" spans="1:13" ht="15" customHeight="1" x14ac:dyDescent="0.25">
      <c r="A831" s="10" t="s">
        <v>295</v>
      </c>
      <c r="B831" s="10" t="s">
        <v>31</v>
      </c>
      <c r="C831" s="82" t="s">
        <v>7</v>
      </c>
      <c r="D831" s="83"/>
      <c r="E831" s="83"/>
      <c r="F831" s="83"/>
      <c r="G831" s="6" t="s">
        <v>32</v>
      </c>
      <c r="H831" s="6" t="s">
        <v>296</v>
      </c>
      <c r="I831" s="6" t="s">
        <v>297</v>
      </c>
      <c r="J831" s="57" t="s">
        <v>9</v>
      </c>
      <c r="K831" s="58"/>
    </row>
    <row r="832" spans="1:13" ht="45" customHeight="1" x14ac:dyDescent="0.25">
      <c r="A832" s="6" t="s">
        <v>413</v>
      </c>
      <c r="B832" s="28">
        <v>89362</v>
      </c>
      <c r="C832" s="91" t="str">
        <f>VLOOKUP(B832,S!$A:$D,2,FALSE)</f>
        <v>JOELHO 90 GRAUS, PVC, SOLDÁVEL, DN 25MM, INSTALADO EM RAMAL OU SUB-RAMAL DE ÁGUA - FORNECIMENTO E INSTALAÇÃO. AF_12/2014</v>
      </c>
      <c r="D832" s="91"/>
      <c r="E832" s="91"/>
      <c r="F832" s="92"/>
      <c r="G832" s="6" t="str">
        <f>VLOOKUP(B832,S!$A:$D,3,FALSE)</f>
        <v>UN</v>
      </c>
      <c r="H832" s="21"/>
      <c r="I832" s="21">
        <f>J839</f>
        <v>6.9500000000000011</v>
      </c>
      <c r="J832" s="76"/>
      <c r="K832" s="72"/>
      <c r="L832" s="21">
        <f>VLOOKUP(B832,S!$A:$D,4,FALSE)</f>
        <v>6.95</v>
      </c>
      <c r="M832" s="6" t="str">
        <f>IF(ROUND((L832-I832),2)=0,"OK, confere com a tabela.",IF(ROUND((L832-I832),2)&lt;0,"ACIMA ("&amp;TEXT(ROUND(I832*100/L832,4),"0,0000")&amp;" %) da tabela.","ABAIXO ("&amp;TEXT(ROUND(I832*100/L832,4),"0,0000")&amp;" %) da tabela."))</f>
        <v>OK, confere com a tabela.</v>
      </c>
    </row>
    <row r="833" spans="1:13" ht="15" customHeight="1" x14ac:dyDescent="0.25">
      <c r="A833" s="16" t="s">
        <v>306</v>
      </c>
      <c r="B833" s="20">
        <v>122</v>
      </c>
      <c r="C833" s="77" t="str">
        <f>VLOOKUP(B833,IF(A833="COMPOSICAO",S!$A:$D,I!$A:$D),2,FALSE)</f>
        <v>ADESIVO PLASTICO PARA PVC, FRASCO COM 850 GR</v>
      </c>
      <c r="D833" s="77"/>
      <c r="E833" s="77"/>
      <c r="F833" s="77"/>
      <c r="G833" s="16" t="str">
        <f>VLOOKUP(B833,IF(A833="COMPOSICAO",S!$A:$D,I!$A:$D),3,FALSE)</f>
        <v>UN</v>
      </c>
      <c r="H833" s="30">
        <v>7.0000000000000001E-3</v>
      </c>
      <c r="I833" s="17">
        <f>IF(A833="COMPOSICAO",VLOOKUP("TOTAL - "&amp;B833,COMPOSICAO_AUX_2!$A:$J,10,FALSE),VLOOKUP(B833,I!$A:$D,4,FALSE))</f>
        <v>65.489999999999995</v>
      </c>
      <c r="J833" s="80">
        <f t="shared" ref="J833:J838" si="36">TRUNC(H833*I833,2)</f>
        <v>0.45</v>
      </c>
      <c r="K833" s="81"/>
    </row>
    <row r="834" spans="1:13" ht="30" customHeight="1" x14ac:dyDescent="0.25">
      <c r="A834" s="16" t="s">
        <v>306</v>
      </c>
      <c r="B834" s="20">
        <v>3529</v>
      </c>
      <c r="C834" s="77" t="str">
        <f>VLOOKUP(B834,IF(A834="COMPOSICAO",S!$A:$D,I!$A:$D),2,FALSE)</f>
        <v>JOELHO PVC, SOLDAVEL, 90 GRAUS, 25 MM, PARA AGUA FRIA PREDIAL</v>
      </c>
      <c r="D834" s="77"/>
      <c r="E834" s="77"/>
      <c r="F834" s="77"/>
      <c r="G834" s="16" t="str">
        <f>VLOOKUP(B834,IF(A834="COMPOSICAO",S!$A:$D,I!$A:$D),3,FALSE)</f>
        <v>UN</v>
      </c>
      <c r="H834" s="17">
        <v>1</v>
      </c>
      <c r="I834" s="17">
        <f>IF(A834="COMPOSICAO",VLOOKUP("TOTAL - "&amp;B834,COMPOSICAO_AUX_2!$A:$J,10,FALSE),VLOOKUP(B834,I!$A:$D,4,FALSE))</f>
        <v>0.81</v>
      </c>
      <c r="J834" s="80">
        <f t="shared" si="36"/>
        <v>0.81</v>
      </c>
      <c r="K834" s="81"/>
    </row>
    <row r="835" spans="1:13" ht="30" customHeight="1" x14ac:dyDescent="0.25">
      <c r="A835" s="16" t="s">
        <v>306</v>
      </c>
      <c r="B835" s="20">
        <v>20083</v>
      </c>
      <c r="C835" s="77" t="str">
        <f>VLOOKUP(B835,IF(A835="COMPOSICAO",S!$A:$D,I!$A:$D),2,FALSE)</f>
        <v>SOLUCAO LIMPADORA PARA PVC, FRASCO COM 1000 CM3</v>
      </c>
      <c r="D835" s="77"/>
      <c r="E835" s="77"/>
      <c r="F835" s="77"/>
      <c r="G835" s="16" t="str">
        <f>VLOOKUP(B835,IF(A835="COMPOSICAO",S!$A:$D,I!$A:$D),3,FALSE)</f>
        <v>UN</v>
      </c>
      <c r="H835" s="30">
        <v>8.0000000000000002E-3</v>
      </c>
      <c r="I835" s="17">
        <f>IF(A835="COMPOSICAO",VLOOKUP("TOTAL - "&amp;B835,COMPOSICAO_AUX_2!$A:$J,10,FALSE),VLOOKUP(B835,I!$A:$D,4,FALSE))</f>
        <v>56.87</v>
      </c>
      <c r="J835" s="80">
        <f t="shared" si="36"/>
        <v>0.45</v>
      </c>
      <c r="K835" s="81"/>
    </row>
    <row r="836" spans="1:13" ht="15" customHeight="1" x14ac:dyDescent="0.25">
      <c r="A836" s="16" t="s">
        <v>306</v>
      </c>
      <c r="B836" s="20">
        <v>38383</v>
      </c>
      <c r="C836" s="77" t="str">
        <f>VLOOKUP(B836,IF(A836="COMPOSICAO",S!$A:$D,I!$A:$D),2,FALSE)</f>
        <v>LIXA D'AGUA EM FOLHA, GRAO 100</v>
      </c>
      <c r="D836" s="77"/>
      <c r="E836" s="77"/>
      <c r="F836" s="77"/>
      <c r="G836" s="16" t="str">
        <f>VLOOKUP(B836,IF(A836="COMPOSICAO",S!$A:$D,I!$A:$D),3,FALSE)</f>
        <v>UN</v>
      </c>
      <c r="H836" s="17">
        <v>0.05</v>
      </c>
      <c r="I836" s="17">
        <f>IF(A836="COMPOSICAO",VLOOKUP("TOTAL - "&amp;B836,COMPOSICAO_AUX_2!$A:$J,10,FALSE),VLOOKUP(B836,I!$A:$D,4,FALSE))</f>
        <v>2.06</v>
      </c>
      <c r="J836" s="80">
        <f t="shared" si="36"/>
        <v>0.1</v>
      </c>
      <c r="K836" s="81"/>
    </row>
    <row r="837" spans="1:13" ht="30" customHeight="1" x14ac:dyDescent="0.25">
      <c r="A837" s="16" t="s">
        <v>302</v>
      </c>
      <c r="B837" s="20">
        <v>88248</v>
      </c>
      <c r="C837" s="77" t="str">
        <f>VLOOKUP(B837,IF(A837="COMPOSICAO",S!$A:$D,I!$A:$D),2,FALSE)</f>
        <v>AUXILIAR DE ENCANADOR OU BOMBEIRO HIDRÁULICO COM ENCARGOS COMPLEMENTARES</v>
      </c>
      <c r="D837" s="77"/>
      <c r="E837" s="77"/>
      <c r="F837" s="77"/>
      <c r="G837" s="16" t="str">
        <f>VLOOKUP(B837,IF(A837="COMPOSICAO",S!$A:$D,I!$A:$D),3,FALSE)</f>
        <v>H</v>
      </c>
      <c r="H837" s="17">
        <v>0.15</v>
      </c>
      <c r="I837" s="17">
        <f>IF(A837="COMPOSICAO",VLOOKUP("TOTAL - "&amp;B837,COMPOSICAO_AUX_2!$A:$J,10,FALSE),VLOOKUP(B837,I!$A:$D,4,FALSE))</f>
        <v>14.96</v>
      </c>
      <c r="J837" s="80">
        <f t="shared" si="36"/>
        <v>2.2400000000000002</v>
      </c>
      <c r="K837" s="81"/>
    </row>
    <row r="838" spans="1:13" ht="30" customHeight="1" x14ac:dyDescent="0.25">
      <c r="A838" s="16" t="s">
        <v>302</v>
      </c>
      <c r="B838" s="20">
        <v>88267</v>
      </c>
      <c r="C838" s="77" t="str">
        <f>VLOOKUP(B838,IF(A838="COMPOSICAO",S!$A:$D,I!$A:$D),2,FALSE)</f>
        <v>ENCANADOR OU BOMBEIRO HIDRÁULICO COM ENCARGOS COMPLEMENTARES</v>
      </c>
      <c r="D838" s="77"/>
      <c r="E838" s="77"/>
      <c r="F838" s="77"/>
      <c r="G838" s="16" t="str">
        <f>VLOOKUP(B838,IF(A838="COMPOSICAO",S!$A:$D,I!$A:$D),3,FALSE)</f>
        <v>H</v>
      </c>
      <c r="H838" s="17">
        <v>0.15</v>
      </c>
      <c r="I838" s="17">
        <f>IF(A838="COMPOSICAO",VLOOKUP("TOTAL - "&amp;B838,COMPOSICAO_AUX_2!$A:$J,10,FALSE),VLOOKUP(B838,I!$A:$D,4,FALSE))</f>
        <v>19.37</v>
      </c>
      <c r="J838" s="80">
        <f t="shared" si="36"/>
        <v>2.9</v>
      </c>
      <c r="K838" s="81"/>
    </row>
    <row r="839" spans="1:13" ht="15" customHeight="1" x14ac:dyDescent="0.25">
      <c r="A839" s="23" t="s">
        <v>639</v>
      </c>
      <c r="B839" s="24"/>
      <c r="C839" s="24"/>
      <c r="D839" s="24"/>
      <c r="E839" s="24"/>
      <c r="F839" s="24"/>
      <c r="G839" s="25"/>
      <c r="H839" s="26"/>
      <c r="I839" s="27"/>
      <c r="J839" s="80">
        <f>SUM(J832:K838)</f>
        <v>6.9500000000000011</v>
      </c>
      <c r="K839" s="81"/>
    </row>
    <row r="840" spans="1:13" ht="15" customHeight="1" x14ac:dyDescent="0.25">
      <c r="A840" s="3"/>
      <c r="B840" s="3"/>
      <c r="C840" s="3"/>
      <c r="D840" s="3"/>
      <c r="E840" s="3"/>
      <c r="F840" s="3"/>
      <c r="G840" s="3"/>
      <c r="H840" s="3"/>
      <c r="I840" s="3"/>
      <c r="J840" s="3"/>
      <c r="K840" s="3"/>
    </row>
    <row r="841" spans="1:13" ht="15" customHeight="1" x14ac:dyDescent="0.25">
      <c r="A841" s="10" t="s">
        <v>295</v>
      </c>
      <c r="B841" s="10" t="s">
        <v>31</v>
      </c>
      <c r="C841" s="82" t="s">
        <v>7</v>
      </c>
      <c r="D841" s="83"/>
      <c r="E841" s="83"/>
      <c r="F841" s="83"/>
      <c r="G841" s="6" t="s">
        <v>32</v>
      </c>
      <c r="H841" s="6" t="s">
        <v>296</v>
      </c>
      <c r="I841" s="6" t="s">
        <v>297</v>
      </c>
      <c r="J841" s="57" t="s">
        <v>9</v>
      </c>
      <c r="K841" s="58"/>
    </row>
    <row r="842" spans="1:13" ht="60" customHeight="1" x14ac:dyDescent="0.25">
      <c r="A842" s="6" t="s">
        <v>413</v>
      </c>
      <c r="B842" s="28">
        <v>89366</v>
      </c>
      <c r="C842" s="91" t="str">
        <f>VLOOKUP(B842,S!$A:$D,2,FALSE)</f>
        <v>JOELHO 90 GRAUS COM BUCHA DE LATÃO, PVC, SOLDÁVEL, DN 25MM, X 3/4 INSTALADO EM RAMAL OU SUB-RAMAL DE ÁGUA - FORNECIMENTO E INSTALAÇÃO. AF_12/2014</v>
      </c>
      <c r="D842" s="91"/>
      <c r="E842" s="91"/>
      <c r="F842" s="92"/>
      <c r="G842" s="6" t="str">
        <f>VLOOKUP(B842,S!$A:$D,3,FALSE)</f>
        <v>UN</v>
      </c>
      <c r="H842" s="21"/>
      <c r="I842" s="21">
        <f>J849</f>
        <v>14.139999999999999</v>
      </c>
      <c r="J842" s="76"/>
      <c r="K842" s="72"/>
      <c r="L842" s="21">
        <f>VLOOKUP(B842,S!$A:$D,4,FALSE)</f>
        <v>14.14</v>
      </c>
      <c r="M842" s="6" t="str">
        <f>IF(ROUND((L842-I842),2)=0,"OK, confere com a tabela.",IF(ROUND((L842-I842),2)&lt;0,"ACIMA ("&amp;TEXT(ROUND(I842*100/L842,4),"0,0000")&amp;" %) da tabela.","ABAIXO ("&amp;TEXT(ROUND(I842*100/L842,4),"0,0000")&amp;" %) da tabela."))</f>
        <v>OK, confere com a tabela.</v>
      </c>
    </row>
    <row r="843" spans="1:13" ht="15" customHeight="1" x14ac:dyDescent="0.25">
      <c r="A843" s="16" t="s">
        <v>306</v>
      </c>
      <c r="B843" s="20">
        <v>122</v>
      </c>
      <c r="C843" s="77" t="str">
        <f>VLOOKUP(B843,IF(A843="COMPOSICAO",S!$A:$D,I!$A:$D),2,FALSE)</f>
        <v>ADESIVO PLASTICO PARA PVC, FRASCO COM 850 GR</v>
      </c>
      <c r="D843" s="77"/>
      <c r="E843" s="77"/>
      <c r="F843" s="77"/>
      <c r="G843" s="16" t="str">
        <f>VLOOKUP(B843,IF(A843="COMPOSICAO",S!$A:$D,I!$A:$D),3,FALSE)</f>
        <v>UN</v>
      </c>
      <c r="H843" s="30">
        <v>7.0000000000000001E-3</v>
      </c>
      <c r="I843" s="17">
        <f>IF(A843="COMPOSICAO",VLOOKUP("TOTAL - "&amp;B843,COMPOSICAO_AUX_2!$A:$J,10,FALSE),VLOOKUP(B843,I!$A:$D,4,FALSE))</f>
        <v>65.489999999999995</v>
      </c>
      <c r="J843" s="80">
        <f t="shared" ref="J843:J848" si="37">TRUNC(H843*I843,2)</f>
        <v>0.45</v>
      </c>
      <c r="K843" s="81"/>
    </row>
    <row r="844" spans="1:13" ht="30" customHeight="1" x14ac:dyDescent="0.25">
      <c r="A844" s="16" t="s">
        <v>306</v>
      </c>
      <c r="B844" s="20">
        <v>3524</v>
      </c>
      <c r="C844" s="77" t="str">
        <f>VLOOKUP(B844,IF(A844="COMPOSICAO",S!$A:$D,I!$A:$D),2,FALSE)</f>
        <v>JOELHO PVC, SOLDAVEL, COM BUCHA DE LATAO, 90 GRAUS, 25 MM X 3/4", PARA AGUA FRIA PREDIAL</v>
      </c>
      <c r="D844" s="77"/>
      <c r="E844" s="77"/>
      <c r="F844" s="77"/>
      <c r="G844" s="16" t="str">
        <f>VLOOKUP(B844,IF(A844="COMPOSICAO",S!$A:$D,I!$A:$D),3,FALSE)</f>
        <v>UN</v>
      </c>
      <c r="H844" s="17">
        <v>1</v>
      </c>
      <c r="I844" s="17">
        <f>IF(A844="COMPOSICAO",VLOOKUP("TOTAL - "&amp;B844,COMPOSICAO_AUX_2!$A:$J,10,FALSE),VLOOKUP(B844,I!$A:$D,4,FALSE))</f>
        <v>8</v>
      </c>
      <c r="J844" s="80">
        <f t="shared" si="37"/>
        <v>8</v>
      </c>
      <c r="K844" s="81"/>
    </row>
    <row r="845" spans="1:13" ht="30" customHeight="1" x14ac:dyDescent="0.25">
      <c r="A845" s="16" t="s">
        <v>306</v>
      </c>
      <c r="B845" s="20">
        <v>20083</v>
      </c>
      <c r="C845" s="77" t="str">
        <f>VLOOKUP(B845,IF(A845="COMPOSICAO",S!$A:$D,I!$A:$D),2,FALSE)</f>
        <v>SOLUCAO LIMPADORA PARA PVC, FRASCO COM 1000 CM3</v>
      </c>
      <c r="D845" s="77"/>
      <c r="E845" s="77"/>
      <c r="F845" s="77"/>
      <c r="G845" s="16" t="str">
        <f>VLOOKUP(B845,IF(A845="COMPOSICAO",S!$A:$D,I!$A:$D),3,FALSE)</f>
        <v>UN</v>
      </c>
      <c r="H845" s="30">
        <v>8.0000000000000002E-3</v>
      </c>
      <c r="I845" s="17">
        <f>IF(A845="COMPOSICAO",VLOOKUP("TOTAL - "&amp;B845,COMPOSICAO_AUX_2!$A:$J,10,FALSE),VLOOKUP(B845,I!$A:$D,4,FALSE))</f>
        <v>56.87</v>
      </c>
      <c r="J845" s="80">
        <f t="shared" si="37"/>
        <v>0.45</v>
      </c>
      <c r="K845" s="81"/>
    </row>
    <row r="846" spans="1:13" ht="15" customHeight="1" x14ac:dyDescent="0.25">
      <c r="A846" s="16" t="s">
        <v>306</v>
      </c>
      <c r="B846" s="20">
        <v>38383</v>
      </c>
      <c r="C846" s="77" t="str">
        <f>VLOOKUP(B846,IF(A846="COMPOSICAO",S!$A:$D,I!$A:$D),2,FALSE)</f>
        <v>LIXA D'AGUA EM FOLHA, GRAO 100</v>
      </c>
      <c r="D846" s="77"/>
      <c r="E846" s="77"/>
      <c r="F846" s="77"/>
      <c r="G846" s="16" t="str">
        <f>VLOOKUP(B846,IF(A846="COMPOSICAO",S!$A:$D,I!$A:$D),3,FALSE)</f>
        <v>UN</v>
      </c>
      <c r="H846" s="17">
        <v>0.05</v>
      </c>
      <c r="I846" s="17">
        <f>IF(A846="COMPOSICAO",VLOOKUP("TOTAL - "&amp;B846,COMPOSICAO_AUX_2!$A:$J,10,FALSE),VLOOKUP(B846,I!$A:$D,4,FALSE))</f>
        <v>2.06</v>
      </c>
      <c r="J846" s="80">
        <f t="shared" si="37"/>
        <v>0.1</v>
      </c>
      <c r="K846" s="81"/>
    </row>
    <row r="847" spans="1:13" ht="30" customHeight="1" x14ac:dyDescent="0.25">
      <c r="A847" s="16" t="s">
        <v>302</v>
      </c>
      <c r="B847" s="20">
        <v>88248</v>
      </c>
      <c r="C847" s="77" t="str">
        <f>VLOOKUP(B847,IF(A847="COMPOSICAO",S!$A:$D,I!$A:$D),2,FALSE)</f>
        <v>AUXILIAR DE ENCANADOR OU BOMBEIRO HIDRÁULICO COM ENCARGOS COMPLEMENTARES</v>
      </c>
      <c r="D847" s="77"/>
      <c r="E847" s="77"/>
      <c r="F847" s="77"/>
      <c r="G847" s="16" t="str">
        <f>VLOOKUP(B847,IF(A847="COMPOSICAO",S!$A:$D,I!$A:$D),3,FALSE)</f>
        <v>H</v>
      </c>
      <c r="H847" s="17">
        <v>0.15</v>
      </c>
      <c r="I847" s="17">
        <f>IF(A847="COMPOSICAO",VLOOKUP("TOTAL - "&amp;B847,COMPOSICAO_AUX_2!$A:$J,10,FALSE),VLOOKUP(B847,I!$A:$D,4,FALSE))</f>
        <v>14.96</v>
      </c>
      <c r="J847" s="80">
        <f t="shared" si="37"/>
        <v>2.2400000000000002</v>
      </c>
      <c r="K847" s="81"/>
    </row>
    <row r="848" spans="1:13" ht="30" customHeight="1" x14ac:dyDescent="0.25">
      <c r="A848" s="16" t="s">
        <v>302</v>
      </c>
      <c r="B848" s="20">
        <v>88267</v>
      </c>
      <c r="C848" s="77" t="str">
        <f>VLOOKUP(B848,IF(A848="COMPOSICAO",S!$A:$D,I!$A:$D),2,FALSE)</f>
        <v>ENCANADOR OU BOMBEIRO HIDRÁULICO COM ENCARGOS COMPLEMENTARES</v>
      </c>
      <c r="D848" s="77"/>
      <c r="E848" s="77"/>
      <c r="F848" s="77"/>
      <c r="G848" s="16" t="str">
        <f>VLOOKUP(B848,IF(A848="COMPOSICAO",S!$A:$D,I!$A:$D),3,FALSE)</f>
        <v>H</v>
      </c>
      <c r="H848" s="17">
        <v>0.15</v>
      </c>
      <c r="I848" s="17">
        <f>IF(A848="COMPOSICAO",VLOOKUP("TOTAL - "&amp;B848,COMPOSICAO_AUX_2!$A:$J,10,FALSE),VLOOKUP(B848,I!$A:$D,4,FALSE))</f>
        <v>19.37</v>
      </c>
      <c r="J848" s="80">
        <f t="shared" si="37"/>
        <v>2.9</v>
      </c>
      <c r="K848" s="81"/>
    </row>
    <row r="849" spans="1:13" ht="15" customHeight="1" x14ac:dyDescent="0.25">
      <c r="A849" s="23" t="s">
        <v>640</v>
      </c>
      <c r="B849" s="24"/>
      <c r="C849" s="24"/>
      <c r="D849" s="24"/>
      <c r="E849" s="24"/>
      <c r="F849" s="24"/>
      <c r="G849" s="25"/>
      <c r="H849" s="26"/>
      <c r="I849" s="27"/>
      <c r="J849" s="80">
        <f>SUM(J842:K848)</f>
        <v>14.139999999999999</v>
      </c>
      <c r="K849" s="81"/>
    </row>
    <row r="850" spans="1:13" ht="15" customHeight="1" x14ac:dyDescent="0.25">
      <c r="A850" s="3"/>
      <c r="B850" s="3"/>
      <c r="C850" s="3"/>
      <c r="D850" s="3"/>
      <c r="E850" s="3"/>
      <c r="F850" s="3"/>
      <c r="G850" s="3"/>
      <c r="H850" s="3"/>
      <c r="I850" s="3"/>
      <c r="J850" s="3"/>
      <c r="K850" s="3"/>
    </row>
    <row r="851" spans="1:13" ht="15" customHeight="1" x14ac:dyDescent="0.25">
      <c r="A851" s="10" t="s">
        <v>295</v>
      </c>
      <c r="B851" s="10" t="s">
        <v>31</v>
      </c>
      <c r="C851" s="82" t="s">
        <v>7</v>
      </c>
      <c r="D851" s="83"/>
      <c r="E851" s="83"/>
      <c r="F851" s="83"/>
      <c r="G851" s="6" t="s">
        <v>32</v>
      </c>
      <c r="H851" s="6" t="s">
        <v>296</v>
      </c>
      <c r="I851" s="6" t="s">
        <v>297</v>
      </c>
      <c r="J851" s="57" t="s">
        <v>9</v>
      </c>
      <c r="K851" s="58"/>
    </row>
    <row r="852" spans="1:13" ht="45" customHeight="1" x14ac:dyDescent="0.25">
      <c r="A852" s="6" t="s">
        <v>413</v>
      </c>
      <c r="B852" s="28">
        <v>89395</v>
      </c>
      <c r="C852" s="91" t="str">
        <f>VLOOKUP(B852,S!$A:$D,2,FALSE)</f>
        <v>TE, PVC, SOLDÁVEL, DN 25MM, INSTALADO EM RAMAL OU SUB-RAMAL DE ÁGUA - FORNECIMENTO E INSTALAÇÃO. AF_12/2014</v>
      </c>
      <c r="D852" s="91"/>
      <c r="E852" s="91"/>
      <c r="F852" s="92"/>
      <c r="G852" s="6" t="str">
        <f>VLOOKUP(B852,S!$A:$D,3,FALSE)</f>
        <v>UN</v>
      </c>
      <c r="H852" s="21"/>
      <c r="I852" s="21">
        <f>J859</f>
        <v>9.7800000000000011</v>
      </c>
      <c r="J852" s="76"/>
      <c r="K852" s="72"/>
      <c r="L852" s="21">
        <f>VLOOKUP(B852,S!$A:$D,4,FALSE)</f>
        <v>9.7799999999999994</v>
      </c>
      <c r="M852" s="6" t="str">
        <f>IF(ROUND((L852-I852),2)=0,"OK, confere com a tabela.",IF(ROUND((L852-I852),2)&lt;0,"ACIMA ("&amp;TEXT(ROUND(I852*100/L852,4),"0,0000")&amp;" %) da tabela.","ABAIXO ("&amp;TEXT(ROUND(I852*100/L852,4),"0,0000")&amp;" %) da tabela."))</f>
        <v>OK, confere com a tabela.</v>
      </c>
    </row>
    <row r="853" spans="1:13" ht="15" customHeight="1" x14ac:dyDescent="0.25">
      <c r="A853" s="16" t="s">
        <v>306</v>
      </c>
      <c r="B853" s="20">
        <v>122</v>
      </c>
      <c r="C853" s="77" t="str">
        <f>VLOOKUP(B853,IF(A853="COMPOSICAO",S!$A:$D,I!$A:$D),2,FALSE)</f>
        <v>ADESIVO PLASTICO PARA PVC, FRASCO COM 850 GR</v>
      </c>
      <c r="D853" s="77"/>
      <c r="E853" s="77"/>
      <c r="F853" s="77"/>
      <c r="G853" s="16" t="str">
        <f>VLOOKUP(B853,IF(A853="COMPOSICAO",S!$A:$D,I!$A:$D),3,FALSE)</f>
        <v>UN</v>
      </c>
      <c r="H853" s="30">
        <v>1.0999999999999999E-2</v>
      </c>
      <c r="I853" s="17">
        <f>IF(A853="COMPOSICAO",VLOOKUP("TOTAL - "&amp;B853,COMPOSICAO_AUX_2!$A:$J,10,FALSE),VLOOKUP(B853,I!$A:$D,4,FALSE))</f>
        <v>65.489999999999995</v>
      </c>
      <c r="J853" s="80">
        <f t="shared" ref="J853:J858" si="38">TRUNC(H853*I853,2)</f>
        <v>0.72</v>
      </c>
      <c r="K853" s="81"/>
    </row>
    <row r="854" spans="1:13" ht="30" customHeight="1" x14ac:dyDescent="0.25">
      <c r="A854" s="16" t="s">
        <v>306</v>
      </c>
      <c r="B854" s="20">
        <v>7139</v>
      </c>
      <c r="C854" s="77" t="str">
        <f>VLOOKUP(B854,IF(A854="COMPOSICAO",S!$A:$D,I!$A:$D),2,FALSE)</f>
        <v>TE SOLDAVEL, PVC, 90 GRAUS, 25 MM, PARA AGUA FRIA PREDIAL (NBR 5648)</v>
      </c>
      <c r="D854" s="77"/>
      <c r="E854" s="77"/>
      <c r="F854" s="77"/>
      <c r="G854" s="16" t="str">
        <f>VLOOKUP(B854,IF(A854="COMPOSICAO",S!$A:$D,I!$A:$D),3,FALSE)</f>
        <v>UN</v>
      </c>
      <c r="H854" s="17">
        <v>1</v>
      </c>
      <c r="I854" s="17">
        <f>IF(A854="COMPOSICAO",VLOOKUP("TOTAL - "&amp;B854,COMPOSICAO_AUX_2!$A:$J,10,FALSE),VLOOKUP(B854,I!$A:$D,4,FALSE))</f>
        <v>1.37</v>
      </c>
      <c r="J854" s="80">
        <f t="shared" si="38"/>
        <v>1.37</v>
      </c>
      <c r="K854" s="81"/>
    </row>
    <row r="855" spans="1:13" ht="30" customHeight="1" x14ac:dyDescent="0.25">
      <c r="A855" s="16" t="s">
        <v>306</v>
      </c>
      <c r="B855" s="20">
        <v>20083</v>
      </c>
      <c r="C855" s="77" t="str">
        <f>VLOOKUP(B855,IF(A855="COMPOSICAO",S!$A:$D,I!$A:$D),2,FALSE)</f>
        <v>SOLUCAO LIMPADORA PARA PVC, FRASCO COM 1000 CM3</v>
      </c>
      <c r="D855" s="77"/>
      <c r="E855" s="77"/>
      <c r="F855" s="77"/>
      <c r="G855" s="16" t="str">
        <f>VLOOKUP(B855,IF(A855="COMPOSICAO",S!$A:$D,I!$A:$D),3,FALSE)</f>
        <v>UN</v>
      </c>
      <c r="H855" s="30">
        <v>1.2E-2</v>
      </c>
      <c r="I855" s="17">
        <f>IF(A855="COMPOSICAO",VLOOKUP("TOTAL - "&amp;B855,COMPOSICAO_AUX_2!$A:$J,10,FALSE),VLOOKUP(B855,I!$A:$D,4,FALSE))</f>
        <v>56.87</v>
      </c>
      <c r="J855" s="80">
        <f t="shared" si="38"/>
        <v>0.68</v>
      </c>
      <c r="K855" s="81"/>
    </row>
    <row r="856" spans="1:13" ht="15" customHeight="1" x14ac:dyDescent="0.25">
      <c r="A856" s="16" t="s">
        <v>306</v>
      </c>
      <c r="B856" s="20">
        <v>38383</v>
      </c>
      <c r="C856" s="77" t="str">
        <f>VLOOKUP(B856,IF(A856="COMPOSICAO",S!$A:$D,I!$A:$D),2,FALSE)</f>
        <v>LIXA D'AGUA EM FOLHA, GRAO 100</v>
      </c>
      <c r="D856" s="77"/>
      <c r="E856" s="77"/>
      <c r="F856" s="77"/>
      <c r="G856" s="16" t="str">
        <f>VLOOKUP(B856,IF(A856="COMPOSICAO",S!$A:$D,I!$A:$D),3,FALSE)</f>
        <v>UN</v>
      </c>
      <c r="H856" s="30">
        <v>7.4999999999999997E-2</v>
      </c>
      <c r="I856" s="17">
        <f>IF(A856="COMPOSICAO",VLOOKUP("TOTAL - "&amp;B856,COMPOSICAO_AUX_2!$A:$J,10,FALSE),VLOOKUP(B856,I!$A:$D,4,FALSE))</f>
        <v>2.06</v>
      </c>
      <c r="J856" s="80">
        <f t="shared" si="38"/>
        <v>0.15</v>
      </c>
      <c r="K856" s="81"/>
    </row>
    <row r="857" spans="1:13" ht="30" customHeight="1" x14ac:dyDescent="0.25">
      <c r="A857" s="16" t="s">
        <v>302</v>
      </c>
      <c r="B857" s="20">
        <v>88248</v>
      </c>
      <c r="C857" s="77" t="str">
        <f>VLOOKUP(B857,IF(A857="COMPOSICAO",S!$A:$D,I!$A:$D),2,FALSE)</f>
        <v>AUXILIAR DE ENCANADOR OU BOMBEIRO HIDRÁULICO COM ENCARGOS COMPLEMENTARES</v>
      </c>
      <c r="D857" s="77"/>
      <c r="E857" s="77"/>
      <c r="F857" s="77"/>
      <c r="G857" s="16" t="str">
        <f>VLOOKUP(B857,IF(A857="COMPOSICAO",S!$A:$D,I!$A:$D),3,FALSE)</f>
        <v>H</v>
      </c>
      <c r="H857" s="17">
        <v>0.2</v>
      </c>
      <c r="I857" s="17">
        <f>IF(A857="COMPOSICAO",VLOOKUP("TOTAL - "&amp;B857,COMPOSICAO_AUX_2!$A:$J,10,FALSE),VLOOKUP(B857,I!$A:$D,4,FALSE))</f>
        <v>14.96</v>
      </c>
      <c r="J857" s="80">
        <f t="shared" si="38"/>
        <v>2.99</v>
      </c>
      <c r="K857" s="81"/>
    </row>
    <row r="858" spans="1:13" ht="30" customHeight="1" x14ac:dyDescent="0.25">
      <c r="A858" s="16" t="s">
        <v>302</v>
      </c>
      <c r="B858" s="20">
        <v>88267</v>
      </c>
      <c r="C858" s="77" t="str">
        <f>VLOOKUP(B858,IF(A858="COMPOSICAO",S!$A:$D,I!$A:$D),2,FALSE)</f>
        <v>ENCANADOR OU BOMBEIRO HIDRÁULICO COM ENCARGOS COMPLEMENTARES</v>
      </c>
      <c r="D858" s="77"/>
      <c r="E858" s="77"/>
      <c r="F858" s="77"/>
      <c r="G858" s="16" t="str">
        <f>VLOOKUP(B858,IF(A858="COMPOSICAO",S!$A:$D,I!$A:$D),3,FALSE)</f>
        <v>H</v>
      </c>
      <c r="H858" s="17">
        <v>0.2</v>
      </c>
      <c r="I858" s="17">
        <f>IF(A858="COMPOSICAO",VLOOKUP("TOTAL - "&amp;B858,COMPOSICAO_AUX_2!$A:$J,10,FALSE),VLOOKUP(B858,I!$A:$D,4,FALSE))</f>
        <v>19.37</v>
      </c>
      <c r="J858" s="80">
        <f t="shared" si="38"/>
        <v>3.87</v>
      </c>
      <c r="K858" s="81"/>
    </row>
    <row r="859" spans="1:13" ht="15" customHeight="1" x14ac:dyDescent="0.25">
      <c r="A859" s="23" t="s">
        <v>641</v>
      </c>
      <c r="B859" s="24"/>
      <c r="C859" s="24"/>
      <c r="D859" s="24"/>
      <c r="E859" s="24"/>
      <c r="F859" s="24"/>
      <c r="G859" s="25"/>
      <c r="H859" s="26"/>
      <c r="I859" s="27"/>
      <c r="J859" s="80">
        <f>SUM(J852:K858)</f>
        <v>9.7800000000000011</v>
      </c>
      <c r="K859" s="81"/>
    </row>
    <row r="860" spans="1:13" ht="15" customHeight="1" x14ac:dyDescent="0.25">
      <c r="A860" s="3"/>
      <c r="B860" s="3"/>
      <c r="C860" s="3"/>
      <c r="D860" s="3"/>
      <c r="E860" s="3"/>
      <c r="F860" s="3"/>
      <c r="G860" s="3"/>
      <c r="H860" s="3"/>
      <c r="I860" s="3"/>
      <c r="J860" s="3"/>
      <c r="K860" s="3"/>
    </row>
    <row r="861" spans="1:13" ht="15" customHeight="1" x14ac:dyDescent="0.25">
      <c r="A861" s="10" t="s">
        <v>295</v>
      </c>
      <c r="B861" s="10" t="s">
        <v>31</v>
      </c>
      <c r="C861" s="82" t="s">
        <v>7</v>
      </c>
      <c r="D861" s="83"/>
      <c r="E861" s="83"/>
      <c r="F861" s="83"/>
      <c r="G861" s="6" t="s">
        <v>32</v>
      </c>
      <c r="H861" s="6" t="s">
        <v>296</v>
      </c>
      <c r="I861" s="6" t="s">
        <v>297</v>
      </c>
      <c r="J861" s="57" t="s">
        <v>9</v>
      </c>
      <c r="K861" s="58"/>
    </row>
    <row r="862" spans="1:13" ht="45" customHeight="1" x14ac:dyDescent="0.25">
      <c r="A862" s="6" t="s">
        <v>413</v>
      </c>
      <c r="B862" s="28">
        <v>90443</v>
      </c>
      <c r="C862" s="91" t="str">
        <f>VLOOKUP(B862,S!$A:$D,2,FALSE)</f>
        <v>RASGO EM ALVENARIA PARA RAMAIS/ DISTRIBUIÇÃO COM DIAMETROS MENORES OU IGUAIS A 40 MM. AF_05/2015</v>
      </c>
      <c r="D862" s="91"/>
      <c r="E862" s="91"/>
      <c r="F862" s="92"/>
      <c r="G862" s="6" t="str">
        <f>VLOOKUP(B862,S!$A:$D,3,FALSE)</f>
        <v>M</v>
      </c>
      <c r="H862" s="21"/>
      <c r="I862" s="21">
        <f>J865</f>
        <v>9.73</v>
      </c>
      <c r="J862" s="76"/>
      <c r="K862" s="72"/>
      <c r="L862" s="21">
        <f>VLOOKUP(B862,S!$A:$D,4,FALSE)</f>
        <v>9.73</v>
      </c>
      <c r="M862" s="6" t="str">
        <f>IF(ROUND((L862-I862),2)=0,"OK, confere com a tabela.",IF(ROUND((L862-I862),2)&lt;0,"ACIMA ("&amp;TEXT(ROUND(I862*100/L862,4),"0,0000")&amp;" %) da tabela.","ABAIXO ("&amp;TEXT(ROUND(I862*100/L862,4),"0,0000")&amp;" %) da tabela."))</f>
        <v>OK, confere com a tabela.</v>
      </c>
    </row>
    <row r="863" spans="1:13" ht="30" customHeight="1" x14ac:dyDescent="0.25">
      <c r="A863" s="16" t="s">
        <v>302</v>
      </c>
      <c r="B863" s="20">
        <v>88248</v>
      </c>
      <c r="C863" s="77" t="str">
        <f>VLOOKUP(B863,IF(A863="COMPOSICAO",S!$A:$D,I!$A:$D),2,FALSE)</f>
        <v>AUXILIAR DE ENCANADOR OU BOMBEIRO HIDRÁULICO COM ENCARGOS COMPLEMENTARES</v>
      </c>
      <c r="D863" s="77"/>
      <c r="E863" s="77"/>
      <c r="F863" s="77"/>
      <c r="G863" s="16" t="str">
        <f>VLOOKUP(B863,IF(A863="COMPOSICAO",S!$A:$D,I!$A:$D),3,FALSE)</f>
        <v>H</v>
      </c>
      <c r="H863" s="17">
        <v>7.0000000000000007E-2</v>
      </c>
      <c r="I863" s="17">
        <f>IF(A863="COMPOSICAO",VLOOKUP("TOTAL - "&amp;B863,COMPOSICAO_AUX_2!$A:$J,10,FALSE),VLOOKUP(B863,I!$A:$D,4,FALSE))</f>
        <v>14.96</v>
      </c>
      <c r="J863" s="80">
        <f>TRUNC(H863*I863,2)</f>
        <v>1.04</v>
      </c>
      <c r="K863" s="81"/>
    </row>
    <row r="864" spans="1:13" ht="30" customHeight="1" x14ac:dyDescent="0.25">
      <c r="A864" s="16" t="s">
        <v>302</v>
      </c>
      <c r="B864" s="20">
        <v>88267</v>
      </c>
      <c r="C864" s="77" t="str">
        <f>VLOOKUP(B864,IF(A864="COMPOSICAO",S!$A:$D,I!$A:$D),2,FALSE)</f>
        <v>ENCANADOR OU BOMBEIRO HIDRÁULICO COM ENCARGOS COMPLEMENTARES</v>
      </c>
      <c r="D864" s="77"/>
      <c r="E864" s="77"/>
      <c r="F864" s="77"/>
      <c r="G864" s="16" t="str">
        <f>VLOOKUP(B864,IF(A864="COMPOSICAO",S!$A:$D,I!$A:$D),3,FALSE)</f>
        <v>H</v>
      </c>
      <c r="H864" s="30">
        <v>0.44900000000000001</v>
      </c>
      <c r="I864" s="17">
        <f>IF(A864="COMPOSICAO",VLOOKUP("TOTAL - "&amp;B864,COMPOSICAO_AUX_2!$A:$J,10,FALSE),VLOOKUP(B864,I!$A:$D,4,FALSE))</f>
        <v>19.37</v>
      </c>
      <c r="J864" s="80">
        <f>TRUNC(H864*I864,2)</f>
        <v>8.69</v>
      </c>
      <c r="K864" s="81"/>
    </row>
    <row r="865" spans="1:13" ht="15" customHeight="1" x14ac:dyDescent="0.25">
      <c r="A865" s="23" t="s">
        <v>642</v>
      </c>
      <c r="B865" s="24"/>
      <c r="C865" s="24"/>
      <c r="D865" s="24"/>
      <c r="E865" s="24"/>
      <c r="F865" s="24"/>
      <c r="G865" s="25"/>
      <c r="H865" s="26"/>
      <c r="I865" s="27"/>
      <c r="J865" s="80">
        <f>SUM(J862:K864)</f>
        <v>9.73</v>
      </c>
      <c r="K865" s="81"/>
    </row>
    <row r="866" spans="1:13" ht="15" customHeight="1" x14ac:dyDescent="0.25">
      <c r="A866" s="3"/>
      <c r="B866" s="3"/>
      <c r="C866" s="3"/>
      <c r="D866" s="3"/>
      <c r="E866" s="3"/>
      <c r="F866" s="3"/>
      <c r="G866" s="3"/>
      <c r="H866" s="3"/>
      <c r="I866" s="3"/>
      <c r="J866" s="3"/>
      <c r="K866" s="3"/>
    </row>
    <row r="867" spans="1:13" ht="15" customHeight="1" x14ac:dyDescent="0.25">
      <c r="A867" s="10" t="s">
        <v>295</v>
      </c>
      <c r="B867" s="10" t="s">
        <v>31</v>
      </c>
      <c r="C867" s="82" t="s">
        <v>7</v>
      </c>
      <c r="D867" s="83"/>
      <c r="E867" s="83"/>
      <c r="F867" s="83"/>
      <c r="G867" s="6" t="s">
        <v>32</v>
      </c>
      <c r="H867" s="6" t="s">
        <v>296</v>
      </c>
      <c r="I867" s="6" t="s">
        <v>297</v>
      </c>
      <c r="J867" s="57" t="s">
        <v>9</v>
      </c>
      <c r="K867" s="58"/>
    </row>
    <row r="868" spans="1:13" ht="45" customHeight="1" x14ac:dyDescent="0.25">
      <c r="A868" s="6" t="s">
        <v>413</v>
      </c>
      <c r="B868" s="28">
        <v>90466</v>
      </c>
      <c r="C868" s="91" t="str">
        <f>VLOOKUP(B868,S!$A:$D,2,FALSE)</f>
        <v>CHUMBAMENTO LINEAR EM ALVENARIA PARA RAMAIS/DISTRIBUIÇÃO COM DIÂMETROS MENORES OU IGUAIS A 40 MM. AF_05/2015</v>
      </c>
      <c r="D868" s="91"/>
      <c r="E868" s="91"/>
      <c r="F868" s="92"/>
      <c r="G868" s="6" t="str">
        <f>VLOOKUP(B868,S!$A:$D,3,FALSE)</f>
        <v>M</v>
      </c>
      <c r="H868" s="21"/>
      <c r="I868" s="21">
        <f>J872</f>
        <v>9.9700000000000006</v>
      </c>
      <c r="J868" s="76"/>
      <c r="K868" s="72"/>
      <c r="L868" s="21">
        <f>VLOOKUP(B868,S!$A:$D,4,FALSE)</f>
        <v>9.9700000000000006</v>
      </c>
      <c r="M868" s="6" t="str">
        <f>IF(ROUND((L868-I868),2)=0,"OK, confere com a tabela.",IF(ROUND((L868-I868),2)&lt;0,"ACIMA ("&amp;TEXT(ROUND(I868*100/L868,4),"0,0000")&amp;" %) da tabela.","ABAIXO ("&amp;TEXT(ROUND(I868*100/L868,4),"0,0000")&amp;" %) da tabela."))</f>
        <v>OK, confere com a tabela.</v>
      </c>
    </row>
    <row r="869" spans="1:13" ht="30" customHeight="1" x14ac:dyDescent="0.25">
      <c r="A869" s="16" t="s">
        <v>302</v>
      </c>
      <c r="B869" s="20">
        <v>88248</v>
      </c>
      <c r="C869" s="77" t="str">
        <f>VLOOKUP(B869,IF(A869="COMPOSICAO",S!$A:$D,I!$A:$D),2,FALSE)</f>
        <v>AUXILIAR DE ENCANADOR OU BOMBEIRO HIDRÁULICO COM ENCARGOS COMPLEMENTARES</v>
      </c>
      <c r="D869" s="77"/>
      <c r="E869" s="77"/>
      <c r="F869" s="77"/>
      <c r="G869" s="16" t="str">
        <f>VLOOKUP(B869,IF(A869="COMPOSICAO",S!$A:$D,I!$A:$D),3,FALSE)</f>
        <v>H</v>
      </c>
      <c r="H869" s="30">
        <v>5.5E-2</v>
      </c>
      <c r="I869" s="17">
        <f>IF(A869="COMPOSICAO",VLOOKUP("TOTAL - "&amp;B869,COMPOSICAO_AUX_2!$A:$J,10,FALSE),VLOOKUP(B869,I!$A:$D,4,FALSE))</f>
        <v>14.96</v>
      </c>
      <c r="J869" s="80">
        <f>TRUNC(H869*I869,2)</f>
        <v>0.82</v>
      </c>
      <c r="K869" s="81"/>
    </row>
    <row r="870" spans="1:13" ht="30" customHeight="1" x14ac:dyDescent="0.25">
      <c r="A870" s="16" t="s">
        <v>302</v>
      </c>
      <c r="B870" s="20">
        <v>88267</v>
      </c>
      <c r="C870" s="77" t="str">
        <f>VLOOKUP(B870,IF(A870="COMPOSICAO",S!$A:$D,I!$A:$D),2,FALSE)</f>
        <v>ENCANADOR OU BOMBEIRO HIDRÁULICO COM ENCARGOS COMPLEMENTARES</v>
      </c>
      <c r="D870" s="77"/>
      <c r="E870" s="77"/>
      <c r="F870" s="77"/>
      <c r="G870" s="16" t="str">
        <f>VLOOKUP(B870,IF(A870="COMPOSICAO",S!$A:$D,I!$A:$D),3,FALSE)</f>
        <v>H</v>
      </c>
      <c r="H870" s="30">
        <v>0.39100000000000001</v>
      </c>
      <c r="I870" s="17">
        <f>IF(A870="COMPOSICAO",VLOOKUP("TOTAL - "&amp;B870,COMPOSICAO_AUX_2!$A:$J,10,FALSE),VLOOKUP(B870,I!$A:$D,4,FALSE))</f>
        <v>19.37</v>
      </c>
      <c r="J870" s="80">
        <f>TRUNC(H870*I870,2)</f>
        <v>7.57</v>
      </c>
      <c r="K870" s="81"/>
    </row>
    <row r="871" spans="1:13" ht="45" customHeight="1" x14ac:dyDescent="0.25">
      <c r="A871" s="16" t="s">
        <v>302</v>
      </c>
      <c r="B871" s="20">
        <v>88629</v>
      </c>
      <c r="C871" s="77" t="str">
        <f>VLOOKUP(B871,IF(A871="COMPOSICAO",S!$A:$D,I!$A:$D),2,FALSE)</f>
        <v>ARGAMASSA TRAÇO 1:3 (EM VOLUME DE CIMENTO E AREIA MÉDIA ÚMIDA), PREPARO MANUAL. AF_08/2019</v>
      </c>
      <c r="D871" s="77"/>
      <c r="E871" s="77"/>
      <c r="F871" s="77"/>
      <c r="G871" s="16" t="str">
        <f>VLOOKUP(B871,IF(A871="COMPOSICAO",S!$A:$D,I!$A:$D),3,FALSE)</f>
        <v>M3</v>
      </c>
      <c r="H871" s="30">
        <v>3.0000000000000001E-3</v>
      </c>
      <c r="I871" s="17">
        <f>IF(A871="COMPOSICAO",VLOOKUP("TOTAL - "&amp;B871,COMPOSICAO_AUX_2!$A:$J,10,FALSE),VLOOKUP(B871,I!$A:$D,4,FALSE))</f>
        <v>527.39</v>
      </c>
      <c r="J871" s="80">
        <f>TRUNC(H871*I871,2)</f>
        <v>1.58</v>
      </c>
      <c r="K871" s="81"/>
    </row>
    <row r="872" spans="1:13" ht="15" customHeight="1" x14ac:dyDescent="0.25">
      <c r="A872" s="23" t="s">
        <v>643</v>
      </c>
      <c r="B872" s="24"/>
      <c r="C872" s="24"/>
      <c r="D872" s="24"/>
      <c r="E872" s="24"/>
      <c r="F872" s="24"/>
      <c r="G872" s="25"/>
      <c r="H872" s="26"/>
      <c r="I872" s="27"/>
      <c r="J872" s="80">
        <f>SUM(J868:K871)</f>
        <v>9.9700000000000006</v>
      </c>
      <c r="K872" s="81"/>
    </row>
    <row r="873" spans="1:13" ht="15" customHeight="1" x14ac:dyDescent="0.25">
      <c r="A873" s="3"/>
      <c r="B873" s="3"/>
      <c r="C873" s="3"/>
      <c r="D873" s="3"/>
      <c r="E873" s="3"/>
      <c r="F873" s="3"/>
      <c r="G873" s="3"/>
      <c r="H873" s="3"/>
      <c r="I873" s="3"/>
      <c r="J873" s="3"/>
      <c r="K873" s="3"/>
    </row>
    <row r="874" spans="1:13" ht="15" customHeight="1" x14ac:dyDescent="0.25">
      <c r="A874" s="10" t="s">
        <v>295</v>
      </c>
      <c r="B874" s="10" t="s">
        <v>31</v>
      </c>
      <c r="C874" s="82" t="s">
        <v>7</v>
      </c>
      <c r="D874" s="83"/>
      <c r="E874" s="83"/>
      <c r="F874" s="83"/>
      <c r="G874" s="6" t="s">
        <v>32</v>
      </c>
      <c r="H874" s="6" t="s">
        <v>296</v>
      </c>
      <c r="I874" s="6" t="s">
        <v>297</v>
      </c>
      <c r="J874" s="57" t="s">
        <v>9</v>
      </c>
      <c r="K874" s="58"/>
    </row>
    <row r="875" spans="1:13" ht="45" customHeight="1" x14ac:dyDescent="0.25">
      <c r="A875" s="6" t="s">
        <v>413</v>
      </c>
      <c r="B875" s="28">
        <v>89378</v>
      </c>
      <c r="C875" s="91" t="str">
        <f>VLOOKUP(B875,S!$A:$D,2,FALSE)</f>
        <v>LUVA, PVC, SOLDÁVEL, DN 25MM, INSTALADO EM RAMAL OU SUB-RAMAL DE ÁGUA - FORNECIMENTO E INSTALAÇÃO. AF_12/2014</v>
      </c>
      <c r="D875" s="91"/>
      <c r="E875" s="91"/>
      <c r="F875" s="92"/>
      <c r="G875" s="6" t="str">
        <f>VLOOKUP(B875,S!$A:$D,3,FALSE)</f>
        <v>UN</v>
      </c>
      <c r="H875" s="21"/>
      <c r="I875" s="21">
        <f>J882</f>
        <v>5.28</v>
      </c>
      <c r="J875" s="76"/>
      <c r="K875" s="72"/>
      <c r="L875" s="21">
        <f>VLOOKUP(B875,S!$A:$D,4,FALSE)</f>
        <v>5.28</v>
      </c>
      <c r="M875" s="6" t="str">
        <f>IF(ROUND((L875-I875),2)=0,"OK, confere com a tabela.",IF(ROUND((L875-I875),2)&lt;0,"ACIMA ("&amp;TEXT(ROUND(I875*100/L875,4),"0,0000")&amp;" %) da tabela.","ABAIXO ("&amp;TEXT(ROUND(I875*100/L875,4),"0,0000")&amp;" %) da tabela."))</f>
        <v>OK, confere com a tabela.</v>
      </c>
    </row>
    <row r="876" spans="1:13" ht="15" customHeight="1" x14ac:dyDescent="0.25">
      <c r="A876" s="16" t="s">
        <v>306</v>
      </c>
      <c r="B876" s="20">
        <v>122</v>
      </c>
      <c r="C876" s="77" t="str">
        <f>VLOOKUP(B876,IF(A876="COMPOSICAO",S!$A:$D,I!$A:$D),2,FALSE)</f>
        <v>ADESIVO PLASTICO PARA PVC, FRASCO COM 850 GR</v>
      </c>
      <c r="D876" s="77"/>
      <c r="E876" s="77"/>
      <c r="F876" s="77"/>
      <c r="G876" s="16" t="str">
        <f>VLOOKUP(B876,IF(A876="COMPOSICAO",S!$A:$D,I!$A:$D),3,FALSE)</f>
        <v>UN</v>
      </c>
      <c r="H876" s="30">
        <v>7.0000000000000001E-3</v>
      </c>
      <c r="I876" s="17">
        <f>IF(A876="COMPOSICAO",VLOOKUP("TOTAL - "&amp;B876,COMPOSICAO_AUX_2!$A:$J,10,FALSE),VLOOKUP(B876,I!$A:$D,4,FALSE))</f>
        <v>65.489999999999995</v>
      </c>
      <c r="J876" s="80">
        <f t="shared" ref="J876:J881" si="39">TRUNC(H876*I876,2)</f>
        <v>0.45</v>
      </c>
      <c r="K876" s="81"/>
    </row>
    <row r="877" spans="1:13" ht="30" customHeight="1" x14ac:dyDescent="0.25">
      <c r="A877" s="16" t="s">
        <v>306</v>
      </c>
      <c r="B877" s="20">
        <v>3904</v>
      </c>
      <c r="C877" s="77" t="str">
        <f>VLOOKUP(B877,IF(A877="COMPOSICAO",S!$A:$D,I!$A:$D),2,FALSE)</f>
        <v>LUVA PVC SOLDAVEL, 25 MM, PARA AGUA FRIA PREDIAL</v>
      </c>
      <c r="D877" s="77"/>
      <c r="E877" s="77"/>
      <c r="F877" s="77"/>
      <c r="G877" s="16" t="str">
        <f>VLOOKUP(B877,IF(A877="COMPOSICAO",S!$A:$D,I!$A:$D),3,FALSE)</f>
        <v>UN</v>
      </c>
      <c r="H877" s="17">
        <v>1</v>
      </c>
      <c r="I877" s="17">
        <f>IF(A877="COMPOSICAO",VLOOKUP("TOTAL - "&amp;B877,COMPOSICAO_AUX_2!$A:$J,10,FALSE),VLOOKUP(B877,I!$A:$D,4,FALSE))</f>
        <v>0.86</v>
      </c>
      <c r="J877" s="80">
        <f t="shared" si="39"/>
        <v>0.86</v>
      </c>
      <c r="K877" s="81"/>
    </row>
    <row r="878" spans="1:13" ht="30" customHeight="1" x14ac:dyDescent="0.25">
      <c r="A878" s="16" t="s">
        <v>306</v>
      </c>
      <c r="B878" s="20">
        <v>20083</v>
      </c>
      <c r="C878" s="77" t="str">
        <f>VLOOKUP(B878,IF(A878="COMPOSICAO",S!$A:$D,I!$A:$D),2,FALSE)</f>
        <v>SOLUCAO LIMPADORA PARA PVC, FRASCO COM 1000 CM3</v>
      </c>
      <c r="D878" s="77"/>
      <c r="E878" s="77"/>
      <c r="F878" s="77"/>
      <c r="G878" s="16" t="str">
        <f>VLOOKUP(B878,IF(A878="COMPOSICAO",S!$A:$D,I!$A:$D),3,FALSE)</f>
        <v>UN</v>
      </c>
      <c r="H878" s="30">
        <v>8.0000000000000002E-3</v>
      </c>
      <c r="I878" s="17">
        <f>IF(A878="COMPOSICAO",VLOOKUP("TOTAL - "&amp;B878,COMPOSICAO_AUX_2!$A:$J,10,FALSE),VLOOKUP(B878,I!$A:$D,4,FALSE))</f>
        <v>56.87</v>
      </c>
      <c r="J878" s="80">
        <f t="shared" si="39"/>
        <v>0.45</v>
      </c>
      <c r="K878" s="81"/>
    </row>
    <row r="879" spans="1:13" ht="15" customHeight="1" x14ac:dyDescent="0.25">
      <c r="A879" s="16" t="s">
        <v>306</v>
      </c>
      <c r="B879" s="20">
        <v>38383</v>
      </c>
      <c r="C879" s="77" t="str">
        <f>VLOOKUP(B879,IF(A879="COMPOSICAO",S!$A:$D,I!$A:$D),2,FALSE)</f>
        <v>LIXA D'AGUA EM FOLHA, GRAO 100</v>
      </c>
      <c r="D879" s="77"/>
      <c r="E879" s="77"/>
      <c r="F879" s="77"/>
      <c r="G879" s="16" t="str">
        <f>VLOOKUP(B879,IF(A879="COMPOSICAO",S!$A:$D,I!$A:$D),3,FALSE)</f>
        <v>UN</v>
      </c>
      <c r="H879" s="17">
        <v>0.05</v>
      </c>
      <c r="I879" s="17">
        <f>IF(A879="COMPOSICAO",VLOOKUP("TOTAL - "&amp;B879,COMPOSICAO_AUX_2!$A:$J,10,FALSE),VLOOKUP(B879,I!$A:$D,4,FALSE))</f>
        <v>2.06</v>
      </c>
      <c r="J879" s="80">
        <f t="shared" si="39"/>
        <v>0.1</v>
      </c>
      <c r="K879" s="81"/>
    </row>
    <row r="880" spans="1:13" ht="30" customHeight="1" x14ac:dyDescent="0.25">
      <c r="A880" s="16" t="s">
        <v>302</v>
      </c>
      <c r="B880" s="20">
        <v>88248</v>
      </c>
      <c r="C880" s="77" t="str">
        <f>VLOOKUP(B880,IF(A880="COMPOSICAO",S!$A:$D,I!$A:$D),2,FALSE)</f>
        <v>AUXILIAR DE ENCANADOR OU BOMBEIRO HIDRÁULICO COM ENCARGOS COMPLEMENTARES</v>
      </c>
      <c r="D880" s="77"/>
      <c r="E880" s="77"/>
      <c r="F880" s="77"/>
      <c r="G880" s="16" t="str">
        <f>VLOOKUP(B880,IF(A880="COMPOSICAO",S!$A:$D,I!$A:$D),3,FALSE)</f>
        <v>H</v>
      </c>
      <c r="H880" s="17">
        <v>0.1</v>
      </c>
      <c r="I880" s="17">
        <f>IF(A880="COMPOSICAO",VLOOKUP("TOTAL - "&amp;B880,COMPOSICAO_AUX_2!$A:$J,10,FALSE),VLOOKUP(B880,I!$A:$D,4,FALSE))</f>
        <v>14.96</v>
      </c>
      <c r="J880" s="80">
        <f t="shared" si="39"/>
        <v>1.49</v>
      </c>
      <c r="K880" s="81"/>
    </row>
    <row r="881" spans="1:13" ht="30" customHeight="1" x14ac:dyDescent="0.25">
      <c r="A881" s="16" t="s">
        <v>302</v>
      </c>
      <c r="B881" s="20">
        <v>88267</v>
      </c>
      <c r="C881" s="77" t="str">
        <f>VLOOKUP(B881,IF(A881="COMPOSICAO",S!$A:$D,I!$A:$D),2,FALSE)</f>
        <v>ENCANADOR OU BOMBEIRO HIDRÁULICO COM ENCARGOS COMPLEMENTARES</v>
      </c>
      <c r="D881" s="77"/>
      <c r="E881" s="77"/>
      <c r="F881" s="77"/>
      <c r="G881" s="16" t="str">
        <f>VLOOKUP(B881,IF(A881="COMPOSICAO",S!$A:$D,I!$A:$D),3,FALSE)</f>
        <v>H</v>
      </c>
      <c r="H881" s="17">
        <v>0.1</v>
      </c>
      <c r="I881" s="17">
        <f>IF(A881="COMPOSICAO",VLOOKUP("TOTAL - "&amp;B881,COMPOSICAO_AUX_2!$A:$J,10,FALSE),VLOOKUP(B881,I!$A:$D,4,FALSE))</f>
        <v>19.37</v>
      </c>
      <c r="J881" s="80">
        <f t="shared" si="39"/>
        <v>1.93</v>
      </c>
      <c r="K881" s="81"/>
    </row>
    <row r="882" spans="1:13" ht="15" customHeight="1" x14ac:dyDescent="0.25">
      <c r="A882" s="23" t="s">
        <v>644</v>
      </c>
      <c r="B882" s="24"/>
      <c r="C882" s="24"/>
      <c r="D882" s="24"/>
      <c r="E882" s="24"/>
      <c r="F882" s="24"/>
      <c r="G882" s="25"/>
      <c r="H882" s="26"/>
      <c r="I882" s="27"/>
      <c r="J882" s="80">
        <f>SUM(J875:K881)</f>
        <v>5.28</v>
      </c>
      <c r="K882" s="81"/>
    </row>
    <row r="883" spans="1:13" ht="15" customHeight="1" x14ac:dyDescent="0.25">
      <c r="A883" s="3"/>
      <c r="B883" s="3"/>
      <c r="C883" s="3"/>
      <c r="D883" s="3"/>
      <c r="E883" s="3"/>
      <c r="F883" s="3"/>
      <c r="G883" s="3"/>
      <c r="H883" s="3"/>
      <c r="I883" s="3"/>
      <c r="J883" s="3"/>
      <c r="K883" s="3"/>
    </row>
    <row r="884" spans="1:13" ht="15" customHeight="1" x14ac:dyDescent="0.25">
      <c r="A884" s="10" t="s">
        <v>295</v>
      </c>
      <c r="B884" s="10" t="s">
        <v>31</v>
      </c>
      <c r="C884" s="82" t="s">
        <v>7</v>
      </c>
      <c r="D884" s="83"/>
      <c r="E884" s="83"/>
      <c r="F884" s="83"/>
      <c r="G884" s="6" t="s">
        <v>32</v>
      </c>
      <c r="H884" s="6" t="s">
        <v>296</v>
      </c>
      <c r="I884" s="6" t="s">
        <v>297</v>
      </c>
      <c r="J884" s="57" t="s">
        <v>9</v>
      </c>
      <c r="K884" s="58"/>
    </row>
    <row r="885" spans="1:13" ht="60" customHeight="1" x14ac:dyDescent="0.25">
      <c r="A885" s="6" t="s">
        <v>413</v>
      </c>
      <c r="B885" s="28">
        <v>89383</v>
      </c>
      <c r="C885" s="91" t="str">
        <f>VLOOKUP(B885,S!$A:$D,2,FALSE)</f>
        <v>ADAPTADOR CURTO COM BOLSA E ROSCA PARA REGISTRO, PVC, SOLDÁVEL, DN 25MM X 3/4, INSTALADO EM RAMAL OU SUB-RAMAL DE ÁGUA - FORNECIMENTO E INSTALAÇÃO. AF_12/2014</v>
      </c>
      <c r="D885" s="91"/>
      <c r="E885" s="91"/>
      <c r="F885" s="92"/>
      <c r="G885" s="6" t="str">
        <f>VLOOKUP(B885,S!$A:$D,3,FALSE)</f>
        <v>UN</v>
      </c>
      <c r="H885" s="21"/>
      <c r="I885" s="21">
        <f>J892</f>
        <v>5.39</v>
      </c>
      <c r="J885" s="76"/>
      <c r="K885" s="72"/>
      <c r="L885" s="21">
        <f>VLOOKUP(B885,S!$A:$D,4,FALSE)</f>
        <v>5.39</v>
      </c>
      <c r="M885" s="6" t="str">
        <f>IF(ROUND((L885-I885),2)=0,"OK, confere com a tabela.",IF(ROUND((L885-I885),2)&lt;0,"ACIMA ("&amp;TEXT(ROUND(I885*100/L885,4),"0,0000")&amp;" %) da tabela.","ABAIXO ("&amp;TEXT(ROUND(I885*100/L885,4),"0,0000")&amp;" %) da tabela."))</f>
        <v>OK, confere com a tabela.</v>
      </c>
    </row>
    <row r="886" spans="1:13" ht="30" customHeight="1" x14ac:dyDescent="0.25">
      <c r="A886" s="16" t="s">
        <v>306</v>
      </c>
      <c r="B886" s="20">
        <v>65</v>
      </c>
      <c r="C886" s="77" t="str">
        <f>VLOOKUP(B886,IF(A886="COMPOSICAO",S!$A:$D,I!$A:$D),2,FALSE)</f>
        <v>ADAPTADOR PVC SOLDAVEL CURTO COM BOLSA E ROSCA, 25 MM X 3/4", PARA AGUA FRIA</v>
      </c>
      <c r="D886" s="77"/>
      <c r="E886" s="77"/>
      <c r="F886" s="77"/>
      <c r="G886" s="16" t="str">
        <f>VLOOKUP(B886,IF(A886="COMPOSICAO",S!$A:$D,I!$A:$D),3,FALSE)</f>
        <v>UN</v>
      </c>
      <c r="H886" s="17">
        <v>1</v>
      </c>
      <c r="I886" s="17">
        <f>IF(A886="COMPOSICAO",VLOOKUP("TOTAL - "&amp;B886,COMPOSICAO_AUX_2!$A:$J,10,FALSE),VLOOKUP(B886,I!$A:$D,4,FALSE))</f>
        <v>0.97</v>
      </c>
      <c r="J886" s="80">
        <f t="shared" ref="J886:J891" si="40">TRUNC(H886*I886,2)</f>
        <v>0.97</v>
      </c>
      <c r="K886" s="81"/>
    </row>
    <row r="887" spans="1:13" ht="15" customHeight="1" x14ac:dyDescent="0.25">
      <c r="A887" s="16" t="s">
        <v>306</v>
      </c>
      <c r="B887" s="20">
        <v>122</v>
      </c>
      <c r="C887" s="77" t="str">
        <f>VLOOKUP(B887,IF(A887="COMPOSICAO",S!$A:$D,I!$A:$D),2,FALSE)</f>
        <v>ADESIVO PLASTICO PARA PVC, FRASCO COM 850 GR</v>
      </c>
      <c r="D887" s="77"/>
      <c r="E887" s="77"/>
      <c r="F887" s="77"/>
      <c r="G887" s="16" t="str">
        <f>VLOOKUP(B887,IF(A887="COMPOSICAO",S!$A:$D,I!$A:$D),3,FALSE)</f>
        <v>UN</v>
      </c>
      <c r="H887" s="30">
        <v>7.0000000000000001E-3</v>
      </c>
      <c r="I887" s="17">
        <f>IF(A887="COMPOSICAO",VLOOKUP("TOTAL - "&amp;B887,COMPOSICAO_AUX_2!$A:$J,10,FALSE),VLOOKUP(B887,I!$A:$D,4,FALSE))</f>
        <v>65.489999999999995</v>
      </c>
      <c r="J887" s="80">
        <f t="shared" si="40"/>
        <v>0.45</v>
      </c>
      <c r="K887" s="81"/>
    </row>
    <row r="888" spans="1:13" ht="30" customHeight="1" x14ac:dyDescent="0.25">
      <c r="A888" s="16" t="s">
        <v>306</v>
      </c>
      <c r="B888" s="20">
        <v>20083</v>
      </c>
      <c r="C888" s="77" t="str">
        <f>VLOOKUP(B888,IF(A888="COMPOSICAO",S!$A:$D,I!$A:$D),2,FALSE)</f>
        <v>SOLUCAO LIMPADORA PARA PVC, FRASCO COM 1000 CM3</v>
      </c>
      <c r="D888" s="77"/>
      <c r="E888" s="77"/>
      <c r="F888" s="77"/>
      <c r="G888" s="16" t="str">
        <f>VLOOKUP(B888,IF(A888="COMPOSICAO",S!$A:$D,I!$A:$D),3,FALSE)</f>
        <v>UN</v>
      </c>
      <c r="H888" s="30">
        <v>8.0000000000000002E-3</v>
      </c>
      <c r="I888" s="17">
        <f>IF(A888="COMPOSICAO",VLOOKUP("TOTAL - "&amp;B888,COMPOSICAO_AUX_2!$A:$J,10,FALSE),VLOOKUP(B888,I!$A:$D,4,FALSE))</f>
        <v>56.87</v>
      </c>
      <c r="J888" s="80">
        <f t="shared" si="40"/>
        <v>0.45</v>
      </c>
      <c r="K888" s="81"/>
    </row>
    <row r="889" spans="1:13" ht="15" customHeight="1" x14ac:dyDescent="0.25">
      <c r="A889" s="16" t="s">
        <v>306</v>
      </c>
      <c r="B889" s="20">
        <v>38383</v>
      </c>
      <c r="C889" s="77" t="str">
        <f>VLOOKUP(B889,IF(A889="COMPOSICAO",S!$A:$D,I!$A:$D),2,FALSE)</f>
        <v>LIXA D'AGUA EM FOLHA, GRAO 100</v>
      </c>
      <c r="D889" s="77"/>
      <c r="E889" s="77"/>
      <c r="F889" s="77"/>
      <c r="G889" s="16" t="str">
        <f>VLOOKUP(B889,IF(A889="COMPOSICAO",S!$A:$D,I!$A:$D),3,FALSE)</f>
        <v>UN</v>
      </c>
      <c r="H889" s="17">
        <v>0.05</v>
      </c>
      <c r="I889" s="17">
        <f>IF(A889="COMPOSICAO",VLOOKUP("TOTAL - "&amp;B889,COMPOSICAO_AUX_2!$A:$J,10,FALSE),VLOOKUP(B889,I!$A:$D,4,FALSE))</f>
        <v>2.06</v>
      </c>
      <c r="J889" s="80">
        <f t="shared" si="40"/>
        <v>0.1</v>
      </c>
      <c r="K889" s="81"/>
    </row>
    <row r="890" spans="1:13" ht="30" customHeight="1" x14ac:dyDescent="0.25">
      <c r="A890" s="16" t="s">
        <v>302</v>
      </c>
      <c r="B890" s="20">
        <v>88248</v>
      </c>
      <c r="C890" s="77" t="str">
        <f>VLOOKUP(B890,IF(A890="COMPOSICAO",S!$A:$D,I!$A:$D),2,FALSE)</f>
        <v>AUXILIAR DE ENCANADOR OU BOMBEIRO HIDRÁULICO COM ENCARGOS COMPLEMENTARES</v>
      </c>
      <c r="D890" s="77"/>
      <c r="E890" s="77"/>
      <c r="F890" s="77"/>
      <c r="G890" s="16" t="str">
        <f>VLOOKUP(B890,IF(A890="COMPOSICAO",S!$A:$D,I!$A:$D),3,FALSE)</f>
        <v>H</v>
      </c>
      <c r="H890" s="17">
        <v>0.1</v>
      </c>
      <c r="I890" s="17">
        <f>IF(A890="COMPOSICAO",VLOOKUP("TOTAL - "&amp;B890,COMPOSICAO_AUX_2!$A:$J,10,FALSE),VLOOKUP(B890,I!$A:$D,4,FALSE))</f>
        <v>14.96</v>
      </c>
      <c r="J890" s="80">
        <f t="shared" si="40"/>
        <v>1.49</v>
      </c>
      <c r="K890" s="81"/>
    </row>
    <row r="891" spans="1:13" ht="30" customHeight="1" x14ac:dyDescent="0.25">
      <c r="A891" s="16" t="s">
        <v>302</v>
      </c>
      <c r="B891" s="20">
        <v>88267</v>
      </c>
      <c r="C891" s="77" t="str">
        <f>VLOOKUP(B891,IF(A891="COMPOSICAO",S!$A:$D,I!$A:$D),2,FALSE)</f>
        <v>ENCANADOR OU BOMBEIRO HIDRÁULICO COM ENCARGOS COMPLEMENTARES</v>
      </c>
      <c r="D891" s="77"/>
      <c r="E891" s="77"/>
      <c r="F891" s="77"/>
      <c r="G891" s="16" t="str">
        <f>VLOOKUP(B891,IF(A891="COMPOSICAO",S!$A:$D,I!$A:$D),3,FALSE)</f>
        <v>H</v>
      </c>
      <c r="H891" s="17">
        <v>0.1</v>
      </c>
      <c r="I891" s="17">
        <f>IF(A891="COMPOSICAO",VLOOKUP("TOTAL - "&amp;B891,COMPOSICAO_AUX_2!$A:$J,10,FALSE),VLOOKUP(B891,I!$A:$D,4,FALSE))</f>
        <v>19.37</v>
      </c>
      <c r="J891" s="80">
        <f t="shared" si="40"/>
        <v>1.93</v>
      </c>
      <c r="K891" s="81"/>
    </row>
    <row r="892" spans="1:13" ht="15" customHeight="1" x14ac:dyDescent="0.25">
      <c r="A892" s="23" t="s">
        <v>645</v>
      </c>
      <c r="B892" s="24"/>
      <c r="C892" s="24"/>
      <c r="D892" s="24"/>
      <c r="E892" s="24"/>
      <c r="F892" s="24"/>
      <c r="G892" s="25"/>
      <c r="H892" s="26"/>
      <c r="I892" s="27"/>
      <c r="J892" s="80">
        <f>SUM(J885:K891)</f>
        <v>5.39</v>
      </c>
      <c r="K892" s="81"/>
    </row>
    <row r="893" spans="1:13" ht="15" customHeight="1" x14ac:dyDescent="0.25">
      <c r="A893" s="3"/>
      <c r="B893" s="3"/>
      <c r="C893" s="3"/>
      <c r="D893" s="3"/>
      <c r="E893" s="3"/>
      <c r="F893" s="3"/>
      <c r="G893" s="3"/>
      <c r="H893" s="3"/>
      <c r="I893" s="3"/>
      <c r="J893" s="3"/>
      <c r="K893" s="3"/>
    </row>
    <row r="894" spans="1:13" ht="15" customHeight="1" x14ac:dyDescent="0.25">
      <c r="A894" s="10" t="s">
        <v>295</v>
      </c>
      <c r="B894" s="10" t="s">
        <v>31</v>
      </c>
      <c r="C894" s="82" t="s">
        <v>7</v>
      </c>
      <c r="D894" s="83"/>
      <c r="E894" s="83"/>
      <c r="F894" s="83"/>
      <c r="G894" s="6" t="s">
        <v>32</v>
      </c>
      <c r="H894" s="6" t="s">
        <v>296</v>
      </c>
      <c r="I894" s="6" t="s">
        <v>297</v>
      </c>
      <c r="J894" s="57" t="s">
        <v>9</v>
      </c>
      <c r="K894" s="58"/>
    </row>
    <row r="895" spans="1:13" ht="60" customHeight="1" x14ac:dyDescent="0.25">
      <c r="A895" s="6" t="s">
        <v>413</v>
      </c>
      <c r="B895" s="28">
        <v>89396</v>
      </c>
      <c r="C895" s="91" t="str">
        <f>VLOOKUP(B895,S!$A:$D,2,FALSE)</f>
        <v>TÊ COM BUCHA DE LATÃO NA BOLSA CENTRAL, PVC, SOLDÁVEL, DN 25MM X 1/2, INSTALADO EM RAMAL OU SUB-RAMAL DE ÁGUA - FORNECIMENTO E INSTALAÇÃO. AF_12/2014</v>
      </c>
      <c r="D895" s="91"/>
      <c r="E895" s="91"/>
      <c r="F895" s="92"/>
      <c r="G895" s="6" t="str">
        <f>VLOOKUP(B895,S!$A:$D,3,FALSE)</f>
        <v>UN</v>
      </c>
      <c r="H895" s="21"/>
      <c r="I895" s="21">
        <f>J902</f>
        <v>18.12</v>
      </c>
      <c r="J895" s="76"/>
      <c r="K895" s="72"/>
      <c r="L895" s="21">
        <f>VLOOKUP(B895,S!$A:$D,4,FALSE)</f>
        <v>18.12</v>
      </c>
      <c r="M895" s="6" t="str">
        <f>IF(ROUND((L895-I895),2)=0,"OK, confere com a tabela.",IF(ROUND((L895-I895),2)&lt;0,"ACIMA ("&amp;TEXT(ROUND(I895*100/L895,4),"0,0000")&amp;" %) da tabela.","ABAIXO ("&amp;TEXT(ROUND(I895*100/L895,4),"0,0000")&amp;" %) da tabela."))</f>
        <v>OK, confere com a tabela.</v>
      </c>
    </row>
    <row r="896" spans="1:13" ht="15" customHeight="1" x14ac:dyDescent="0.25">
      <c r="A896" s="16" t="s">
        <v>306</v>
      </c>
      <c r="B896" s="20">
        <v>122</v>
      </c>
      <c r="C896" s="77" t="str">
        <f>VLOOKUP(B896,IF(A896="COMPOSICAO",S!$A:$D,I!$A:$D),2,FALSE)</f>
        <v>ADESIVO PLASTICO PARA PVC, FRASCO COM 850 GR</v>
      </c>
      <c r="D896" s="77"/>
      <c r="E896" s="77"/>
      <c r="F896" s="77"/>
      <c r="G896" s="16" t="str">
        <f>VLOOKUP(B896,IF(A896="COMPOSICAO",S!$A:$D,I!$A:$D),3,FALSE)</f>
        <v>UN</v>
      </c>
      <c r="H896" s="30">
        <v>1.0999999999999999E-2</v>
      </c>
      <c r="I896" s="17">
        <f>IF(A896="COMPOSICAO",VLOOKUP("TOTAL - "&amp;B896,COMPOSICAO_AUX_2!$A:$J,10,FALSE),VLOOKUP(B896,I!$A:$D,4,FALSE))</f>
        <v>65.489999999999995</v>
      </c>
      <c r="J896" s="80">
        <f t="shared" ref="J896:J901" si="41">TRUNC(H896*I896,2)</f>
        <v>0.72</v>
      </c>
      <c r="K896" s="81"/>
    </row>
    <row r="897" spans="1:13" ht="45" customHeight="1" x14ac:dyDescent="0.25">
      <c r="A897" s="16" t="s">
        <v>306</v>
      </c>
      <c r="B897" s="20">
        <v>7137</v>
      </c>
      <c r="C897" s="77" t="str">
        <f>VLOOKUP(B897,IF(A897="COMPOSICAO",S!$A:$D,I!$A:$D),2,FALSE)</f>
        <v>TE PVC, SOLDAVEL, COM BUCHA DE LATAO NA BOLSA CENTRAL, 90 GRAUS, 25 MM X 1/2", PARA AGUA FRIA PREDIAL</v>
      </c>
      <c r="D897" s="77"/>
      <c r="E897" s="77"/>
      <c r="F897" s="77"/>
      <c r="G897" s="16" t="str">
        <f>VLOOKUP(B897,IF(A897="COMPOSICAO",S!$A:$D,I!$A:$D),3,FALSE)</f>
        <v>UN</v>
      </c>
      <c r="H897" s="17">
        <v>1</v>
      </c>
      <c r="I897" s="17">
        <f>IF(A897="COMPOSICAO",VLOOKUP("TOTAL - "&amp;B897,COMPOSICAO_AUX_2!$A:$J,10,FALSE),VLOOKUP(B897,I!$A:$D,4,FALSE))</f>
        <v>9.7100000000000009</v>
      </c>
      <c r="J897" s="80">
        <f t="shared" si="41"/>
        <v>9.7100000000000009</v>
      </c>
      <c r="K897" s="81"/>
    </row>
    <row r="898" spans="1:13" ht="30" customHeight="1" x14ac:dyDescent="0.25">
      <c r="A898" s="16" t="s">
        <v>306</v>
      </c>
      <c r="B898" s="20">
        <v>20083</v>
      </c>
      <c r="C898" s="77" t="str">
        <f>VLOOKUP(B898,IF(A898="COMPOSICAO",S!$A:$D,I!$A:$D),2,FALSE)</f>
        <v>SOLUCAO LIMPADORA PARA PVC, FRASCO COM 1000 CM3</v>
      </c>
      <c r="D898" s="77"/>
      <c r="E898" s="77"/>
      <c r="F898" s="77"/>
      <c r="G898" s="16" t="str">
        <f>VLOOKUP(B898,IF(A898="COMPOSICAO",S!$A:$D,I!$A:$D),3,FALSE)</f>
        <v>UN</v>
      </c>
      <c r="H898" s="30">
        <v>1.2E-2</v>
      </c>
      <c r="I898" s="17">
        <f>IF(A898="COMPOSICAO",VLOOKUP("TOTAL - "&amp;B898,COMPOSICAO_AUX_2!$A:$J,10,FALSE),VLOOKUP(B898,I!$A:$D,4,FALSE))</f>
        <v>56.87</v>
      </c>
      <c r="J898" s="80">
        <f t="shared" si="41"/>
        <v>0.68</v>
      </c>
      <c r="K898" s="81"/>
    </row>
    <row r="899" spans="1:13" ht="15" customHeight="1" x14ac:dyDescent="0.25">
      <c r="A899" s="16" t="s">
        <v>306</v>
      </c>
      <c r="B899" s="20">
        <v>38383</v>
      </c>
      <c r="C899" s="77" t="str">
        <f>VLOOKUP(B899,IF(A899="COMPOSICAO",S!$A:$D,I!$A:$D),2,FALSE)</f>
        <v>LIXA D'AGUA EM FOLHA, GRAO 100</v>
      </c>
      <c r="D899" s="77"/>
      <c r="E899" s="77"/>
      <c r="F899" s="77"/>
      <c r="G899" s="16" t="str">
        <f>VLOOKUP(B899,IF(A899="COMPOSICAO",S!$A:$D,I!$A:$D),3,FALSE)</f>
        <v>UN</v>
      </c>
      <c r="H899" s="30">
        <v>7.4999999999999997E-2</v>
      </c>
      <c r="I899" s="17">
        <f>IF(A899="COMPOSICAO",VLOOKUP("TOTAL - "&amp;B899,COMPOSICAO_AUX_2!$A:$J,10,FALSE),VLOOKUP(B899,I!$A:$D,4,FALSE))</f>
        <v>2.06</v>
      </c>
      <c r="J899" s="80">
        <f t="shared" si="41"/>
        <v>0.15</v>
      </c>
      <c r="K899" s="81"/>
    </row>
    <row r="900" spans="1:13" ht="30" customHeight="1" x14ac:dyDescent="0.25">
      <c r="A900" s="16" t="s">
        <v>302</v>
      </c>
      <c r="B900" s="20">
        <v>88248</v>
      </c>
      <c r="C900" s="77" t="str">
        <f>VLOOKUP(B900,IF(A900="COMPOSICAO",S!$A:$D,I!$A:$D),2,FALSE)</f>
        <v>AUXILIAR DE ENCANADOR OU BOMBEIRO HIDRÁULICO COM ENCARGOS COMPLEMENTARES</v>
      </c>
      <c r="D900" s="77"/>
      <c r="E900" s="77"/>
      <c r="F900" s="77"/>
      <c r="G900" s="16" t="str">
        <f>VLOOKUP(B900,IF(A900="COMPOSICAO",S!$A:$D,I!$A:$D),3,FALSE)</f>
        <v>H</v>
      </c>
      <c r="H900" s="17">
        <v>0.2</v>
      </c>
      <c r="I900" s="17">
        <f>IF(A900="COMPOSICAO",VLOOKUP("TOTAL - "&amp;B900,COMPOSICAO_AUX_2!$A:$J,10,FALSE),VLOOKUP(B900,I!$A:$D,4,FALSE))</f>
        <v>14.96</v>
      </c>
      <c r="J900" s="80">
        <f t="shared" si="41"/>
        <v>2.99</v>
      </c>
      <c r="K900" s="81"/>
    </row>
    <row r="901" spans="1:13" ht="30" customHeight="1" x14ac:dyDescent="0.25">
      <c r="A901" s="16" t="s">
        <v>302</v>
      </c>
      <c r="B901" s="20">
        <v>88267</v>
      </c>
      <c r="C901" s="77" t="str">
        <f>VLOOKUP(B901,IF(A901="COMPOSICAO",S!$A:$D,I!$A:$D),2,FALSE)</f>
        <v>ENCANADOR OU BOMBEIRO HIDRÁULICO COM ENCARGOS COMPLEMENTARES</v>
      </c>
      <c r="D901" s="77"/>
      <c r="E901" s="77"/>
      <c r="F901" s="77"/>
      <c r="G901" s="16" t="str">
        <f>VLOOKUP(B901,IF(A901="COMPOSICAO",S!$A:$D,I!$A:$D),3,FALSE)</f>
        <v>H</v>
      </c>
      <c r="H901" s="17">
        <v>0.2</v>
      </c>
      <c r="I901" s="17">
        <f>IF(A901="COMPOSICAO",VLOOKUP("TOTAL - "&amp;B901,COMPOSICAO_AUX_2!$A:$J,10,FALSE),VLOOKUP(B901,I!$A:$D,4,FALSE))</f>
        <v>19.37</v>
      </c>
      <c r="J901" s="80">
        <f t="shared" si="41"/>
        <v>3.87</v>
      </c>
      <c r="K901" s="81"/>
    </row>
    <row r="902" spans="1:13" ht="15" customHeight="1" x14ac:dyDescent="0.25">
      <c r="A902" s="23" t="s">
        <v>646</v>
      </c>
      <c r="B902" s="24"/>
      <c r="C902" s="24"/>
      <c r="D902" s="24"/>
      <c r="E902" s="24"/>
      <c r="F902" s="24"/>
      <c r="G902" s="25"/>
      <c r="H902" s="26"/>
      <c r="I902" s="27"/>
      <c r="J902" s="80">
        <f>SUM(J895:K901)</f>
        <v>18.12</v>
      </c>
      <c r="K902" s="81"/>
    </row>
    <row r="903" spans="1:13" ht="15" customHeight="1" x14ac:dyDescent="0.25">
      <c r="A903" s="3"/>
      <c r="B903" s="3"/>
      <c r="C903" s="3"/>
      <c r="D903" s="3"/>
      <c r="E903" s="3"/>
      <c r="F903" s="3"/>
      <c r="G903" s="3"/>
      <c r="H903" s="3"/>
      <c r="I903" s="3"/>
      <c r="J903" s="3"/>
      <c r="K903" s="3"/>
    </row>
    <row r="904" spans="1:13" ht="15" customHeight="1" x14ac:dyDescent="0.25">
      <c r="A904" s="10" t="s">
        <v>295</v>
      </c>
      <c r="B904" s="10" t="s">
        <v>31</v>
      </c>
      <c r="C904" s="82" t="s">
        <v>7</v>
      </c>
      <c r="D904" s="83"/>
      <c r="E904" s="83"/>
      <c r="F904" s="83"/>
      <c r="G904" s="6" t="s">
        <v>32</v>
      </c>
      <c r="H904" s="6" t="s">
        <v>296</v>
      </c>
      <c r="I904" s="6" t="s">
        <v>297</v>
      </c>
      <c r="J904" s="57" t="s">
        <v>9</v>
      </c>
      <c r="K904" s="58"/>
    </row>
    <row r="905" spans="1:13" ht="45" customHeight="1" x14ac:dyDescent="0.25">
      <c r="A905" s="6" t="s">
        <v>413</v>
      </c>
      <c r="B905" s="28">
        <v>89400</v>
      </c>
      <c r="C905" s="91" t="str">
        <f>VLOOKUP(B905,S!$A:$D,2,FALSE)</f>
        <v>TÊ DE REDUÇÃO, PVC, SOLDÁVEL, DN 32MM X 25MM, INSTALADO EM RAMAL OU SUB-RAMAL DE ÁGUA - FORNECIMENTO E INSTALAÇÃO. AF_12/2014</v>
      </c>
      <c r="D905" s="91"/>
      <c r="E905" s="91"/>
      <c r="F905" s="92"/>
      <c r="G905" s="6" t="str">
        <f>VLOOKUP(B905,S!$A:$D,3,FALSE)</f>
        <v>UN</v>
      </c>
      <c r="H905" s="21"/>
      <c r="I905" s="21">
        <f>J912</f>
        <v>16.990000000000002</v>
      </c>
      <c r="J905" s="76"/>
      <c r="K905" s="72"/>
      <c r="L905" s="21">
        <f>VLOOKUP(B905,S!$A:$D,4,FALSE)</f>
        <v>16.989999999999998</v>
      </c>
      <c r="M905" s="6" t="str">
        <f>IF(ROUND((L905-I905),2)=0,"OK, confere com a tabela.",IF(ROUND((L905-I905),2)&lt;0,"ACIMA ("&amp;TEXT(ROUND(I905*100/L905,4),"0,0000")&amp;" %) da tabela.","ABAIXO ("&amp;TEXT(ROUND(I905*100/L905,4),"0,0000")&amp;" %) da tabela."))</f>
        <v>OK, confere com a tabela.</v>
      </c>
    </row>
    <row r="906" spans="1:13" ht="15" customHeight="1" x14ac:dyDescent="0.25">
      <c r="A906" s="16" t="s">
        <v>306</v>
      </c>
      <c r="B906" s="20">
        <v>122</v>
      </c>
      <c r="C906" s="77" t="str">
        <f>VLOOKUP(B906,IF(A906="COMPOSICAO",S!$A:$D,I!$A:$D),2,FALSE)</f>
        <v>ADESIVO PLASTICO PARA PVC, FRASCO COM 850 GR</v>
      </c>
      <c r="D906" s="77"/>
      <c r="E906" s="77"/>
      <c r="F906" s="77"/>
      <c r="G906" s="16" t="str">
        <f>VLOOKUP(B906,IF(A906="COMPOSICAO",S!$A:$D,I!$A:$D),3,FALSE)</f>
        <v>UN</v>
      </c>
      <c r="H906" s="30">
        <v>1.4E-2</v>
      </c>
      <c r="I906" s="17">
        <f>IF(A906="COMPOSICAO",VLOOKUP("TOTAL - "&amp;B906,COMPOSICAO_AUX_2!$A:$J,10,FALSE),VLOOKUP(B906,I!$A:$D,4,FALSE))</f>
        <v>65.489999999999995</v>
      </c>
      <c r="J906" s="80">
        <f t="shared" ref="J906:J911" si="42">TRUNC(H906*I906,2)</f>
        <v>0.91</v>
      </c>
      <c r="K906" s="81"/>
    </row>
    <row r="907" spans="1:13" ht="30" customHeight="1" x14ac:dyDescent="0.25">
      <c r="A907" s="16" t="s">
        <v>306</v>
      </c>
      <c r="B907" s="20">
        <v>7136</v>
      </c>
      <c r="C907" s="77" t="str">
        <f>VLOOKUP(B907,IF(A907="COMPOSICAO",S!$A:$D,I!$A:$D),2,FALSE)</f>
        <v>TE DE REDUCAO, PVC, SOLDAVEL, 90 GRAUS, 32 MM X 25 MM, PARA AGUA FRIA PREDIAL</v>
      </c>
      <c r="D907" s="77"/>
      <c r="E907" s="77"/>
      <c r="F907" s="77"/>
      <c r="G907" s="16" t="str">
        <f>VLOOKUP(B907,IF(A907="COMPOSICAO",S!$A:$D,I!$A:$D),3,FALSE)</f>
        <v>UN</v>
      </c>
      <c r="H907" s="17">
        <v>1</v>
      </c>
      <c r="I907" s="17">
        <f>IF(A907="COMPOSICAO",VLOOKUP("TOTAL - "&amp;B907,COMPOSICAO_AUX_2!$A:$J,10,FALSE),VLOOKUP(B907,I!$A:$D,4,FALSE))</f>
        <v>6.77</v>
      </c>
      <c r="J907" s="80">
        <f t="shared" si="42"/>
        <v>6.77</v>
      </c>
      <c r="K907" s="81"/>
    </row>
    <row r="908" spans="1:13" ht="30" customHeight="1" x14ac:dyDescent="0.25">
      <c r="A908" s="16" t="s">
        <v>306</v>
      </c>
      <c r="B908" s="20">
        <v>20083</v>
      </c>
      <c r="C908" s="77" t="str">
        <f>VLOOKUP(B908,IF(A908="COMPOSICAO",S!$A:$D,I!$A:$D),2,FALSE)</f>
        <v>SOLUCAO LIMPADORA PARA PVC, FRASCO COM 1000 CM3</v>
      </c>
      <c r="D908" s="77"/>
      <c r="E908" s="77"/>
      <c r="F908" s="77"/>
      <c r="G908" s="16" t="str">
        <f>VLOOKUP(B908,IF(A908="COMPOSICAO",S!$A:$D,I!$A:$D),3,FALSE)</f>
        <v>UN</v>
      </c>
      <c r="H908" s="30">
        <v>1.7000000000000001E-2</v>
      </c>
      <c r="I908" s="17">
        <f>IF(A908="COMPOSICAO",VLOOKUP("TOTAL - "&amp;B908,COMPOSICAO_AUX_2!$A:$J,10,FALSE),VLOOKUP(B908,I!$A:$D,4,FALSE))</f>
        <v>56.87</v>
      </c>
      <c r="J908" s="80">
        <f t="shared" si="42"/>
        <v>0.96</v>
      </c>
      <c r="K908" s="81"/>
    </row>
    <row r="909" spans="1:13" ht="15" customHeight="1" x14ac:dyDescent="0.25">
      <c r="A909" s="16" t="s">
        <v>306</v>
      </c>
      <c r="B909" s="20">
        <v>38383</v>
      </c>
      <c r="C909" s="77" t="str">
        <f>VLOOKUP(B909,IF(A909="COMPOSICAO",S!$A:$D,I!$A:$D),2,FALSE)</f>
        <v>LIXA D'AGUA EM FOLHA, GRAO 100</v>
      </c>
      <c r="D909" s="77"/>
      <c r="E909" s="77"/>
      <c r="F909" s="77"/>
      <c r="G909" s="16" t="str">
        <f>VLOOKUP(B909,IF(A909="COMPOSICAO",S!$A:$D,I!$A:$D),3,FALSE)</f>
        <v>UN</v>
      </c>
      <c r="H909" s="30">
        <v>8.8999999999999996E-2</v>
      </c>
      <c r="I909" s="17">
        <f>IF(A909="COMPOSICAO",VLOOKUP("TOTAL - "&amp;B909,COMPOSICAO_AUX_2!$A:$J,10,FALSE),VLOOKUP(B909,I!$A:$D,4,FALSE))</f>
        <v>2.06</v>
      </c>
      <c r="J909" s="80">
        <f t="shared" si="42"/>
        <v>0.18</v>
      </c>
      <c r="K909" s="81"/>
    </row>
    <row r="910" spans="1:13" ht="30" customHeight="1" x14ac:dyDescent="0.25">
      <c r="A910" s="16" t="s">
        <v>302</v>
      </c>
      <c r="B910" s="20">
        <v>88248</v>
      </c>
      <c r="C910" s="77" t="str">
        <f>VLOOKUP(B910,IF(A910="COMPOSICAO",S!$A:$D,I!$A:$D),2,FALSE)</f>
        <v>AUXILIAR DE ENCANADOR OU BOMBEIRO HIDRÁULICO COM ENCARGOS COMPLEMENTARES</v>
      </c>
      <c r="D910" s="77"/>
      <c r="E910" s="77"/>
      <c r="F910" s="77"/>
      <c r="G910" s="16" t="str">
        <f>VLOOKUP(B910,IF(A910="COMPOSICAO",S!$A:$D,I!$A:$D),3,FALSE)</f>
        <v>H</v>
      </c>
      <c r="H910" s="30">
        <v>0.23799999999999999</v>
      </c>
      <c r="I910" s="17">
        <f>IF(A910="COMPOSICAO",VLOOKUP("TOTAL - "&amp;B910,COMPOSICAO_AUX_2!$A:$J,10,FALSE),VLOOKUP(B910,I!$A:$D,4,FALSE))</f>
        <v>14.96</v>
      </c>
      <c r="J910" s="80">
        <f t="shared" si="42"/>
        <v>3.56</v>
      </c>
      <c r="K910" s="81"/>
    </row>
    <row r="911" spans="1:13" ht="30" customHeight="1" x14ac:dyDescent="0.25">
      <c r="A911" s="16" t="s">
        <v>302</v>
      </c>
      <c r="B911" s="20">
        <v>88267</v>
      </c>
      <c r="C911" s="77" t="str">
        <f>VLOOKUP(B911,IF(A911="COMPOSICAO",S!$A:$D,I!$A:$D),2,FALSE)</f>
        <v>ENCANADOR OU BOMBEIRO HIDRÁULICO COM ENCARGOS COMPLEMENTARES</v>
      </c>
      <c r="D911" s="77"/>
      <c r="E911" s="77"/>
      <c r="F911" s="77"/>
      <c r="G911" s="16" t="str">
        <f>VLOOKUP(B911,IF(A911="COMPOSICAO",S!$A:$D,I!$A:$D),3,FALSE)</f>
        <v>H</v>
      </c>
      <c r="H911" s="30">
        <v>0.23799999999999999</v>
      </c>
      <c r="I911" s="17">
        <f>IF(A911="COMPOSICAO",VLOOKUP("TOTAL - "&amp;B911,COMPOSICAO_AUX_2!$A:$J,10,FALSE),VLOOKUP(B911,I!$A:$D,4,FALSE))</f>
        <v>19.37</v>
      </c>
      <c r="J911" s="80">
        <f t="shared" si="42"/>
        <v>4.6100000000000003</v>
      </c>
      <c r="K911" s="81"/>
    </row>
    <row r="912" spans="1:13" ht="15" customHeight="1" x14ac:dyDescent="0.25">
      <c r="A912" s="23" t="s">
        <v>647</v>
      </c>
      <c r="B912" s="24"/>
      <c r="C912" s="24"/>
      <c r="D912" s="24"/>
      <c r="E912" s="24"/>
      <c r="F912" s="24"/>
      <c r="G912" s="25"/>
      <c r="H912" s="26"/>
      <c r="I912" s="27"/>
      <c r="J912" s="80">
        <f>SUM(J905:K911)</f>
        <v>16.990000000000002</v>
      </c>
      <c r="K912" s="81"/>
    </row>
    <row r="913" spans="1:13" ht="15" customHeight="1" x14ac:dyDescent="0.25">
      <c r="A913" s="3"/>
      <c r="B913" s="3"/>
      <c r="C913" s="3"/>
      <c r="D913" s="3"/>
      <c r="E913" s="3"/>
      <c r="F913" s="3"/>
      <c r="G913" s="3"/>
      <c r="H913" s="3"/>
      <c r="I913" s="3"/>
      <c r="J913" s="3"/>
      <c r="K913" s="3"/>
    </row>
    <row r="914" spans="1:13" ht="15" customHeight="1" x14ac:dyDescent="0.25">
      <c r="A914" s="10" t="s">
        <v>295</v>
      </c>
      <c r="B914" s="10" t="s">
        <v>31</v>
      </c>
      <c r="C914" s="82" t="s">
        <v>7</v>
      </c>
      <c r="D914" s="83"/>
      <c r="E914" s="83"/>
      <c r="F914" s="83"/>
      <c r="G914" s="6" t="s">
        <v>32</v>
      </c>
      <c r="H914" s="6" t="s">
        <v>296</v>
      </c>
      <c r="I914" s="6" t="s">
        <v>297</v>
      </c>
      <c r="J914" s="57" t="s">
        <v>9</v>
      </c>
      <c r="K914" s="58"/>
    </row>
    <row r="915" spans="1:13" ht="45" customHeight="1" x14ac:dyDescent="0.25">
      <c r="A915" s="6" t="s">
        <v>413</v>
      </c>
      <c r="B915" s="28">
        <v>89402</v>
      </c>
      <c r="C915" s="91" t="str">
        <f>VLOOKUP(B915,S!$A:$D,2,FALSE)</f>
        <v>TUBO, PVC, SOLDÁVEL, DN 25MM, INSTALADO EM RAMAL DE DISTRIBUIÇÃO DE ÁGUA - FORNECIMENTO E INSTALAÇÃO. AF_12/2014</v>
      </c>
      <c r="D915" s="91"/>
      <c r="E915" s="91"/>
      <c r="F915" s="92"/>
      <c r="G915" s="6" t="str">
        <f>VLOOKUP(B915,S!$A:$D,3,FALSE)</f>
        <v>M</v>
      </c>
      <c r="H915" s="21"/>
      <c r="I915" s="21">
        <f>J920</f>
        <v>8.2899999999999991</v>
      </c>
      <c r="J915" s="76"/>
      <c r="K915" s="72"/>
      <c r="L915" s="21">
        <f>VLOOKUP(B915,S!$A:$D,4,FALSE)</f>
        <v>8.2899999999999991</v>
      </c>
      <c r="M915" s="6" t="str">
        <f>IF(ROUND((L915-I915),2)=0,"OK, confere com a tabela.",IF(ROUND((L915-I915),2)&lt;0,"ACIMA ("&amp;TEXT(ROUND(I915*100/L915,4),"0,0000")&amp;" %) da tabela.","ABAIXO ("&amp;TEXT(ROUND(I915*100/L915,4),"0,0000")&amp;" %) da tabela."))</f>
        <v>OK, confere com a tabela.</v>
      </c>
    </row>
    <row r="916" spans="1:13" ht="30" customHeight="1" x14ac:dyDescent="0.25">
      <c r="A916" s="16" t="s">
        <v>306</v>
      </c>
      <c r="B916" s="20">
        <v>9868</v>
      </c>
      <c r="C916" s="77" t="str">
        <f>VLOOKUP(B916,IF(A916="COMPOSICAO",S!$A:$D,I!$A:$D),2,FALSE)</f>
        <v>TUBO PVC, SOLDAVEL, DN 25 MM, AGUA FRIA (NBR-5648)</v>
      </c>
      <c r="D916" s="77"/>
      <c r="E916" s="77"/>
      <c r="F916" s="77"/>
      <c r="G916" s="16" t="str">
        <f>VLOOKUP(B916,IF(A916="COMPOSICAO",S!$A:$D,I!$A:$D),3,FALSE)</f>
        <v>M</v>
      </c>
      <c r="H916" s="30">
        <v>1.0609999999999999</v>
      </c>
      <c r="I916" s="17">
        <f>IF(A916="COMPOSICAO",VLOOKUP("TOTAL - "&amp;B916,COMPOSICAO_AUX_2!$A:$J,10,FALSE),VLOOKUP(B916,I!$A:$D,4,FALSE))</f>
        <v>4.0999999999999996</v>
      </c>
      <c r="J916" s="80">
        <f>TRUNC(H916*I916,2)</f>
        <v>4.3499999999999996</v>
      </c>
      <c r="K916" s="81"/>
    </row>
    <row r="917" spans="1:13" ht="15" customHeight="1" x14ac:dyDescent="0.25">
      <c r="A917" s="16" t="s">
        <v>306</v>
      </c>
      <c r="B917" s="20">
        <v>38383</v>
      </c>
      <c r="C917" s="77" t="str">
        <f>VLOOKUP(B917,IF(A917="COMPOSICAO",S!$A:$D,I!$A:$D),2,FALSE)</f>
        <v>LIXA D'AGUA EM FOLHA, GRAO 100</v>
      </c>
      <c r="D917" s="77"/>
      <c r="E917" s="77"/>
      <c r="F917" s="77"/>
      <c r="G917" s="16" t="str">
        <f>VLOOKUP(B917,IF(A917="COMPOSICAO",S!$A:$D,I!$A:$D),3,FALSE)</f>
        <v>UN</v>
      </c>
      <c r="H917" s="30">
        <v>3.7999999999999999E-2</v>
      </c>
      <c r="I917" s="17">
        <f>IF(A917="COMPOSICAO",VLOOKUP("TOTAL - "&amp;B917,COMPOSICAO_AUX_2!$A:$J,10,FALSE),VLOOKUP(B917,I!$A:$D,4,FALSE))</f>
        <v>2.06</v>
      </c>
      <c r="J917" s="80">
        <f>TRUNC(H917*I917,2)</f>
        <v>7.0000000000000007E-2</v>
      </c>
      <c r="K917" s="81"/>
    </row>
    <row r="918" spans="1:13" ht="30" customHeight="1" x14ac:dyDescent="0.25">
      <c r="A918" s="16" t="s">
        <v>302</v>
      </c>
      <c r="B918" s="20">
        <v>88248</v>
      </c>
      <c r="C918" s="77" t="str">
        <f>VLOOKUP(B918,IF(A918="COMPOSICAO",S!$A:$D,I!$A:$D),2,FALSE)</f>
        <v>AUXILIAR DE ENCANADOR OU BOMBEIRO HIDRÁULICO COM ENCARGOS COMPLEMENTARES</v>
      </c>
      <c r="D918" s="77"/>
      <c r="E918" s="77"/>
      <c r="F918" s="77"/>
      <c r="G918" s="16" t="str">
        <f>VLOOKUP(B918,IF(A918="COMPOSICAO",S!$A:$D,I!$A:$D),3,FALSE)</f>
        <v>H</v>
      </c>
      <c r="H918" s="30">
        <v>0.113</v>
      </c>
      <c r="I918" s="17">
        <f>IF(A918="COMPOSICAO",VLOOKUP("TOTAL - "&amp;B918,COMPOSICAO_AUX_2!$A:$J,10,FALSE),VLOOKUP(B918,I!$A:$D,4,FALSE))</f>
        <v>14.96</v>
      </c>
      <c r="J918" s="80">
        <f>TRUNC(H918*I918,2)</f>
        <v>1.69</v>
      </c>
      <c r="K918" s="81"/>
    </row>
    <row r="919" spans="1:13" ht="30" customHeight="1" x14ac:dyDescent="0.25">
      <c r="A919" s="16" t="s">
        <v>302</v>
      </c>
      <c r="B919" s="20">
        <v>88267</v>
      </c>
      <c r="C919" s="77" t="str">
        <f>VLOOKUP(B919,IF(A919="COMPOSICAO",S!$A:$D,I!$A:$D),2,FALSE)</f>
        <v>ENCANADOR OU BOMBEIRO HIDRÁULICO COM ENCARGOS COMPLEMENTARES</v>
      </c>
      <c r="D919" s="77"/>
      <c r="E919" s="77"/>
      <c r="F919" s="77"/>
      <c r="G919" s="16" t="str">
        <f>VLOOKUP(B919,IF(A919="COMPOSICAO",S!$A:$D,I!$A:$D),3,FALSE)</f>
        <v>H</v>
      </c>
      <c r="H919" s="30">
        <v>0.113</v>
      </c>
      <c r="I919" s="17">
        <f>IF(A919="COMPOSICAO",VLOOKUP("TOTAL - "&amp;B919,COMPOSICAO_AUX_2!$A:$J,10,FALSE),VLOOKUP(B919,I!$A:$D,4,FALSE))</f>
        <v>19.37</v>
      </c>
      <c r="J919" s="80">
        <f>TRUNC(H919*I919,2)</f>
        <v>2.1800000000000002</v>
      </c>
      <c r="K919" s="81"/>
    </row>
    <row r="920" spans="1:13" ht="15" customHeight="1" x14ac:dyDescent="0.25">
      <c r="A920" s="23" t="s">
        <v>648</v>
      </c>
      <c r="B920" s="24"/>
      <c r="C920" s="24"/>
      <c r="D920" s="24"/>
      <c r="E920" s="24"/>
      <c r="F920" s="24"/>
      <c r="G920" s="25"/>
      <c r="H920" s="26"/>
      <c r="I920" s="27"/>
      <c r="J920" s="80">
        <f>SUM(J915:K919)</f>
        <v>8.2899999999999991</v>
      </c>
      <c r="K920" s="81"/>
    </row>
    <row r="921" spans="1:13" ht="15" customHeight="1" x14ac:dyDescent="0.25">
      <c r="A921" s="3"/>
      <c r="B921" s="3"/>
      <c r="C921" s="3"/>
      <c r="D921" s="3"/>
      <c r="E921" s="3"/>
      <c r="F921" s="3"/>
      <c r="G921" s="3"/>
      <c r="H921" s="3"/>
      <c r="I921" s="3"/>
      <c r="J921" s="3"/>
      <c r="K921" s="3"/>
    </row>
    <row r="922" spans="1:13" ht="15" customHeight="1" x14ac:dyDescent="0.25">
      <c r="A922" s="10" t="s">
        <v>295</v>
      </c>
      <c r="B922" s="10" t="s">
        <v>31</v>
      </c>
      <c r="C922" s="82" t="s">
        <v>7</v>
      </c>
      <c r="D922" s="83"/>
      <c r="E922" s="83"/>
      <c r="F922" s="83"/>
      <c r="G922" s="6" t="s">
        <v>32</v>
      </c>
      <c r="H922" s="6" t="s">
        <v>296</v>
      </c>
      <c r="I922" s="6" t="s">
        <v>297</v>
      </c>
      <c r="J922" s="57" t="s">
        <v>9</v>
      </c>
      <c r="K922" s="58"/>
    </row>
    <row r="923" spans="1:13" ht="45" customHeight="1" x14ac:dyDescent="0.25">
      <c r="A923" s="6" t="s">
        <v>413</v>
      </c>
      <c r="B923" s="28">
        <v>89408</v>
      </c>
      <c r="C923" s="91" t="str">
        <f>VLOOKUP(B923,S!$A:$D,2,FALSE)</f>
        <v>JOELHO 90 GRAUS, PVC, SOLDÁVEL, DN 25MM, INSTALADO EM RAMAL DE DISTRIBUIÇÃO DE ÁGUA - FORNECIMENTO E INSTALAÇÃO. AF_12/2014</v>
      </c>
      <c r="D923" s="91"/>
      <c r="E923" s="91"/>
      <c r="F923" s="92"/>
      <c r="G923" s="6" t="str">
        <f>VLOOKUP(B923,S!$A:$D,3,FALSE)</f>
        <v>UN</v>
      </c>
      <c r="H923" s="21"/>
      <c r="I923" s="21">
        <f>J930</f>
        <v>4.8500000000000005</v>
      </c>
      <c r="J923" s="76"/>
      <c r="K923" s="72"/>
      <c r="L923" s="21">
        <f>VLOOKUP(B923,S!$A:$D,4,FALSE)</f>
        <v>4.8499999999999996</v>
      </c>
      <c r="M923" s="6" t="str">
        <f>IF(ROUND((L923-I923),2)=0,"OK, confere com a tabela.",IF(ROUND((L923-I923),2)&lt;0,"ACIMA ("&amp;TEXT(ROUND(I923*100/L923,4),"0,0000")&amp;" %) da tabela.","ABAIXO ("&amp;TEXT(ROUND(I923*100/L923,4),"0,0000")&amp;" %) da tabela."))</f>
        <v>OK, confere com a tabela.</v>
      </c>
    </row>
    <row r="924" spans="1:13" ht="15" customHeight="1" x14ac:dyDescent="0.25">
      <c r="A924" s="16" t="s">
        <v>306</v>
      </c>
      <c r="B924" s="20">
        <v>122</v>
      </c>
      <c r="C924" s="77" t="str">
        <f>VLOOKUP(B924,IF(A924="COMPOSICAO",S!$A:$D,I!$A:$D),2,FALSE)</f>
        <v>ADESIVO PLASTICO PARA PVC, FRASCO COM 850 GR</v>
      </c>
      <c r="D924" s="77"/>
      <c r="E924" s="77"/>
      <c r="F924" s="77"/>
      <c r="G924" s="16" t="str">
        <f>VLOOKUP(B924,IF(A924="COMPOSICAO",S!$A:$D,I!$A:$D),3,FALSE)</f>
        <v>UN</v>
      </c>
      <c r="H924" s="30">
        <v>7.0000000000000001E-3</v>
      </c>
      <c r="I924" s="17">
        <f>IF(A924="COMPOSICAO",VLOOKUP("TOTAL - "&amp;B924,COMPOSICAO_AUX_2!$A:$J,10,FALSE),VLOOKUP(B924,I!$A:$D,4,FALSE))</f>
        <v>65.489999999999995</v>
      </c>
      <c r="J924" s="80">
        <f t="shared" ref="J924:J929" si="43">TRUNC(H924*I924,2)</f>
        <v>0.45</v>
      </c>
      <c r="K924" s="81"/>
    </row>
    <row r="925" spans="1:13" ht="30" customHeight="1" x14ac:dyDescent="0.25">
      <c r="A925" s="16" t="s">
        <v>306</v>
      </c>
      <c r="B925" s="20">
        <v>3529</v>
      </c>
      <c r="C925" s="77" t="str">
        <f>VLOOKUP(B925,IF(A925="COMPOSICAO",S!$A:$D,I!$A:$D),2,FALSE)</f>
        <v>JOELHO PVC, SOLDAVEL, 90 GRAUS, 25 MM, PARA AGUA FRIA PREDIAL</v>
      </c>
      <c r="D925" s="77"/>
      <c r="E925" s="77"/>
      <c r="F925" s="77"/>
      <c r="G925" s="16" t="str">
        <f>VLOOKUP(B925,IF(A925="COMPOSICAO",S!$A:$D,I!$A:$D),3,FALSE)</f>
        <v>UN</v>
      </c>
      <c r="H925" s="17">
        <v>1</v>
      </c>
      <c r="I925" s="17">
        <f>IF(A925="COMPOSICAO",VLOOKUP("TOTAL - "&amp;B925,COMPOSICAO_AUX_2!$A:$J,10,FALSE),VLOOKUP(B925,I!$A:$D,4,FALSE))</f>
        <v>0.81</v>
      </c>
      <c r="J925" s="80">
        <f t="shared" si="43"/>
        <v>0.81</v>
      </c>
      <c r="K925" s="81"/>
    </row>
    <row r="926" spans="1:13" ht="30" customHeight="1" x14ac:dyDescent="0.25">
      <c r="A926" s="16" t="s">
        <v>306</v>
      </c>
      <c r="B926" s="20">
        <v>20083</v>
      </c>
      <c r="C926" s="77" t="str">
        <f>VLOOKUP(B926,IF(A926="COMPOSICAO",S!$A:$D,I!$A:$D),2,FALSE)</f>
        <v>SOLUCAO LIMPADORA PARA PVC, FRASCO COM 1000 CM3</v>
      </c>
      <c r="D926" s="77"/>
      <c r="E926" s="77"/>
      <c r="F926" s="77"/>
      <c r="G926" s="16" t="str">
        <f>VLOOKUP(B926,IF(A926="COMPOSICAO",S!$A:$D,I!$A:$D),3,FALSE)</f>
        <v>UN</v>
      </c>
      <c r="H926" s="30">
        <v>8.0000000000000002E-3</v>
      </c>
      <c r="I926" s="17">
        <f>IF(A926="COMPOSICAO",VLOOKUP("TOTAL - "&amp;B926,COMPOSICAO_AUX_2!$A:$J,10,FALSE),VLOOKUP(B926,I!$A:$D,4,FALSE))</f>
        <v>56.87</v>
      </c>
      <c r="J926" s="80">
        <f t="shared" si="43"/>
        <v>0.45</v>
      </c>
      <c r="K926" s="81"/>
    </row>
    <row r="927" spans="1:13" ht="15" customHeight="1" x14ac:dyDescent="0.25">
      <c r="A927" s="16" t="s">
        <v>306</v>
      </c>
      <c r="B927" s="20">
        <v>38383</v>
      </c>
      <c r="C927" s="77" t="str">
        <f>VLOOKUP(B927,IF(A927="COMPOSICAO",S!$A:$D,I!$A:$D),2,FALSE)</f>
        <v>LIXA D'AGUA EM FOLHA, GRAO 100</v>
      </c>
      <c r="D927" s="77"/>
      <c r="E927" s="77"/>
      <c r="F927" s="77"/>
      <c r="G927" s="16" t="str">
        <f>VLOOKUP(B927,IF(A927="COMPOSICAO",S!$A:$D,I!$A:$D),3,FALSE)</f>
        <v>UN</v>
      </c>
      <c r="H927" s="17">
        <v>0.03</v>
      </c>
      <c r="I927" s="17">
        <f>IF(A927="COMPOSICAO",VLOOKUP("TOTAL - "&amp;B927,COMPOSICAO_AUX_2!$A:$J,10,FALSE),VLOOKUP(B927,I!$A:$D,4,FALSE))</f>
        <v>2.06</v>
      </c>
      <c r="J927" s="80">
        <f t="shared" si="43"/>
        <v>0.06</v>
      </c>
      <c r="K927" s="81"/>
    </row>
    <row r="928" spans="1:13" ht="30" customHeight="1" x14ac:dyDescent="0.25">
      <c r="A928" s="16" t="s">
        <v>302</v>
      </c>
      <c r="B928" s="20">
        <v>88248</v>
      </c>
      <c r="C928" s="77" t="str">
        <f>VLOOKUP(B928,IF(A928="COMPOSICAO",S!$A:$D,I!$A:$D),2,FALSE)</f>
        <v>AUXILIAR DE ENCANADOR OU BOMBEIRO HIDRÁULICO COM ENCARGOS COMPLEMENTARES</v>
      </c>
      <c r="D928" s="77"/>
      <c r="E928" s="77"/>
      <c r="F928" s="77"/>
      <c r="G928" s="16" t="str">
        <f>VLOOKUP(B928,IF(A928="COMPOSICAO",S!$A:$D,I!$A:$D),3,FALSE)</f>
        <v>H</v>
      </c>
      <c r="H928" s="17">
        <v>0.09</v>
      </c>
      <c r="I928" s="17">
        <f>IF(A928="COMPOSICAO",VLOOKUP("TOTAL - "&amp;B928,COMPOSICAO_AUX_2!$A:$J,10,FALSE),VLOOKUP(B928,I!$A:$D,4,FALSE))</f>
        <v>14.96</v>
      </c>
      <c r="J928" s="80">
        <f t="shared" si="43"/>
        <v>1.34</v>
      </c>
      <c r="K928" s="81"/>
    </row>
    <row r="929" spans="1:13" ht="30" customHeight="1" x14ac:dyDescent="0.25">
      <c r="A929" s="16" t="s">
        <v>302</v>
      </c>
      <c r="B929" s="20">
        <v>88267</v>
      </c>
      <c r="C929" s="77" t="str">
        <f>VLOOKUP(B929,IF(A929="COMPOSICAO",S!$A:$D,I!$A:$D),2,FALSE)</f>
        <v>ENCANADOR OU BOMBEIRO HIDRÁULICO COM ENCARGOS COMPLEMENTARES</v>
      </c>
      <c r="D929" s="77"/>
      <c r="E929" s="77"/>
      <c r="F929" s="77"/>
      <c r="G929" s="16" t="str">
        <f>VLOOKUP(B929,IF(A929="COMPOSICAO",S!$A:$D,I!$A:$D),3,FALSE)</f>
        <v>H</v>
      </c>
      <c r="H929" s="17">
        <v>0.09</v>
      </c>
      <c r="I929" s="17">
        <f>IF(A929="COMPOSICAO",VLOOKUP("TOTAL - "&amp;B929,COMPOSICAO_AUX_2!$A:$J,10,FALSE),VLOOKUP(B929,I!$A:$D,4,FALSE))</f>
        <v>19.37</v>
      </c>
      <c r="J929" s="80">
        <f t="shared" si="43"/>
        <v>1.74</v>
      </c>
      <c r="K929" s="81"/>
    </row>
    <row r="930" spans="1:13" ht="15" customHeight="1" x14ac:dyDescent="0.25">
      <c r="A930" s="23" t="s">
        <v>649</v>
      </c>
      <c r="B930" s="24"/>
      <c r="C930" s="24"/>
      <c r="D930" s="24"/>
      <c r="E930" s="24"/>
      <c r="F930" s="24"/>
      <c r="G930" s="25"/>
      <c r="H930" s="26"/>
      <c r="I930" s="27"/>
      <c r="J930" s="80">
        <f>SUM(J923:K929)</f>
        <v>4.8500000000000005</v>
      </c>
      <c r="K930" s="81"/>
    </row>
    <row r="931" spans="1:13" ht="15" customHeight="1" x14ac:dyDescent="0.25">
      <c r="A931" s="3"/>
      <c r="B931" s="3"/>
      <c r="C931" s="3"/>
      <c r="D931" s="3"/>
      <c r="E931" s="3"/>
      <c r="F931" s="3"/>
      <c r="G931" s="3"/>
      <c r="H931" s="3"/>
      <c r="I931" s="3"/>
      <c r="J931" s="3"/>
      <c r="K931" s="3"/>
    </row>
    <row r="932" spans="1:13" ht="15" customHeight="1" x14ac:dyDescent="0.25">
      <c r="A932" s="10" t="s">
        <v>295</v>
      </c>
      <c r="B932" s="10" t="s">
        <v>31</v>
      </c>
      <c r="C932" s="82" t="s">
        <v>7</v>
      </c>
      <c r="D932" s="83"/>
      <c r="E932" s="83"/>
      <c r="F932" s="83"/>
      <c r="G932" s="6" t="s">
        <v>32</v>
      </c>
      <c r="H932" s="6" t="s">
        <v>296</v>
      </c>
      <c r="I932" s="6" t="s">
        <v>297</v>
      </c>
      <c r="J932" s="57" t="s">
        <v>9</v>
      </c>
      <c r="K932" s="58"/>
    </row>
    <row r="933" spans="1:13" ht="45" customHeight="1" x14ac:dyDescent="0.25">
      <c r="A933" s="6" t="s">
        <v>413</v>
      </c>
      <c r="B933" s="28">
        <v>89424</v>
      </c>
      <c r="C933" s="91" t="str">
        <f>VLOOKUP(B933,S!$A:$D,2,FALSE)</f>
        <v>LUVA, PVC, SOLDÁVEL, DN 25MM, INSTALADO EM RAMAL DE DISTRIBUIÇÃO DE ÁGUA - FORNECIMENTO E INSTALAÇÃO. AF_12/2014</v>
      </c>
      <c r="D933" s="91"/>
      <c r="E933" s="91"/>
      <c r="F933" s="92"/>
      <c r="G933" s="6" t="str">
        <f>VLOOKUP(B933,S!$A:$D,3,FALSE)</f>
        <v>UN</v>
      </c>
      <c r="H933" s="21"/>
      <c r="I933" s="21">
        <f>J940</f>
        <v>3.87</v>
      </c>
      <c r="J933" s="76"/>
      <c r="K933" s="72"/>
      <c r="L933" s="21">
        <f>VLOOKUP(B933,S!$A:$D,4,FALSE)</f>
        <v>3.87</v>
      </c>
      <c r="M933" s="6" t="str">
        <f>IF(ROUND((L933-I933),2)=0,"OK, confere com a tabela.",IF(ROUND((L933-I933),2)&lt;0,"ACIMA ("&amp;TEXT(ROUND(I933*100/L933,4),"0,0000")&amp;" %) da tabela.","ABAIXO ("&amp;TEXT(ROUND(I933*100/L933,4),"0,0000")&amp;" %) da tabela."))</f>
        <v>OK, confere com a tabela.</v>
      </c>
    </row>
    <row r="934" spans="1:13" ht="15" customHeight="1" x14ac:dyDescent="0.25">
      <c r="A934" s="16" t="s">
        <v>306</v>
      </c>
      <c r="B934" s="20">
        <v>122</v>
      </c>
      <c r="C934" s="77" t="str">
        <f>VLOOKUP(B934,IF(A934="COMPOSICAO",S!$A:$D,I!$A:$D),2,FALSE)</f>
        <v>ADESIVO PLASTICO PARA PVC, FRASCO COM 850 GR</v>
      </c>
      <c r="D934" s="77"/>
      <c r="E934" s="77"/>
      <c r="F934" s="77"/>
      <c r="G934" s="16" t="str">
        <f>VLOOKUP(B934,IF(A934="COMPOSICAO",S!$A:$D,I!$A:$D),3,FALSE)</f>
        <v>UN</v>
      </c>
      <c r="H934" s="30">
        <v>7.0000000000000001E-3</v>
      </c>
      <c r="I934" s="17">
        <f>IF(A934="COMPOSICAO",VLOOKUP("TOTAL - "&amp;B934,COMPOSICAO_AUX_2!$A:$J,10,FALSE),VLOOKUP(B934,I!$A:$D,4,FALSE))</f>
        <v>65.489999999999995</v>
      </c>
      <c r="J934" s="80">
        <f t="shared" ref="J934:J939" si="44">TRUNC(H934*I934,2)</f>
        <v>0.45</v>
      </c>
      <c r="K934" s="81"/>
    </row>
    <row r="935" spans="1:13" ht="30" customHeight="1" x14ac:dyDescent="0.25">
      <c r="A935" s="16" t="s">
        <v>306</v>
      </c>
      <c r="B935" s="20">
        <v>3904</v>
      </c>
      <c r="C935" s="77" t="str">
        <f>VLOOKUP(B935,IF(A935="COMPOSICAO",S!$A:$D,I!$A:$D),2,FALSE)</f>
        <v>LUVA PVC SOLDAVEL, 25 MM, PARA AGUA FRIA PREDIAL</v>
      </c>
      <c r="D935" s="77"/>
      <c r="E935" s="77"/>
      <c r="F935" s="77"/>
      <c r="G935" s="16" t="str">
        <f>VLOOKUP(B935,IF(A935="COMPOSICAO",S!$A:$D,I!$A:$D),3,FALSE)</f>
        <v>UN</v>
      </c>
      <c r="H935" s="17">
        <v>1</v>
      </c>
      <c r="I935" s="17">
        <f>IF(A935="COMPOSICAO",VLOOKUP("TOTAL - "&amp;B935,COMPOSICAO_AUX_2!$A:$J,10,FALSE),VLOOKUP(B935,I!$A:$D,4,FALSE))</f>
        <v>0.86</v>
      </c>
      <c r="J935" s="80">
        <f t="shared" si="44"/>
        <v>0.86</v>
      </c>
      <c r="K935" s="81"/>
    </row>
    <row r="936" spans="1:13" ht="30" customHeight="1" x14ac:dyDescent="0.25">
      <c r="A936" s="16" t="s">
        <v>306</v>
      </c>
      <c r="B936" s="20">
        <v>20083</v>
      </c>
      <c r="C936" s="77" t="str">
        <f>VLOOKUP(B936,IF(A936="COMPOSICAO",S!$A:$D,I!$A:$D),2,FALSE)</f>
        <v>SOLUCAO LIMPADORA PARA PVC, FRASCO COM 1000 CM3</v>
      </c>
      <c r="D936" s="77"/>
      <c r="E936" s="77"/>
      <c r="F936" s="77"/>
      <c r="G936" s="16" t="str">
        <f>VLOOKUP(B936,IF(A936="COMPOSICAO",S!$A:$D,I!$A:$D),3,FALSE)</f>
        <v>UN</v>
      </c>
      <c r="H936" s="30">
        <v>8.0000000000000002E-3</v>
      </c>
      <c r="I936" s="17">
        <f>IF(A936="COMPOSICAO",VLOOKUP("TOTAL - "&amp;B936,COMPOSICAO_AUX_2!$A:$J,10,FALSE),VLOOKUP(B936,I!$A:$D,4,FALSE))</f>
        <v>56.87</v>
      </c>
      <c r="J936" s="80">
        <f t="shared" si="44"/>
        <v>0.45</v>
      </c>
      <c r="K936" s="81"/>
    </row>
    <row r="937" spans="1:13" ht="15" customHeight="1" x14ac:dyDescent="0.25">
      <c r="A937" s="16" t="s">
        <v>306</v>
      </c>
      <c r="B937" s="20">
        <v>38383</v>
      </c>
      <c r="C937" s="77" t="str">
        <f>VLOOKUP(B937,IF(A937="COMPOSICAO",S!$A:$D,I!$A:$D),2,FALSE)</f>
        <v>LIXA D'AGUA EM FOLHA, GRAO 100</v>
      </c>
      <c r="D937" s="77"/>
      <c r="E937" s="77"/>
      <c r="F937" s="77"/>
      <c r="G937" s="16" t="str">
        <f>VLOOKUP(B937,IF(A937="COMPOSICAO",S!$A:$D,I!$A:$D),3,FALSE)</f>
        <v>UN</v>
      </c>
      <c r="H937" s="17">
        <v>0.03</v>
      </c>
      <c r="I937" s="17">
        <f>IF(A937="COMPOSICAO",VLOOKUP("TOTAL - "&amp;B937,COMPOSICAO_AUX_2!$A:$J,10,FALSE),VLOOKUP(B937,I!$A:$D,4,FALSE))</f>
        <v>2.06</v>
      </c>
      <c r="J937" s="80">
        <f t="shared" si="44"/>
        <v>0.06</v>
      </c>
      <c r="K937" s="81"/>
    </row>
    <row r="938" spans="1:13" ht="30" customHeight="1" x14ac:dyDescent="0.25">
      <c r="A938" s="16" t="s">
        <v>302</v>
      </c>
      <c r="B938" s="20">
        <v>88248</v>
      </c>
      <c r="C938" s="77" t="str">
        <f>VLOOKUP(B938,IF(A938="COMPOSICAO",S!$A:$D,I!$A:$D),2,FALSE)</f>
        <v>AUXILIAR DE ENCANADOR OU BOMBEIRO HIDRÁULICO COM ENCARGOS COMPLEMENTARES</v>
      </c>
      <c r="D938" s="77"/>
      <c r="E938" s="77"/>
      <c r="F938" s="77"/>
      <c r="G938" s="16" t="str">
        <f>VLOOKUP(B938,IF(A938="COMPOSICAO",S!$A:$D,I!$A:$D),3,FALSE)</f>
        <v>H</v>
      </c>
      <c r="H938" s="17">
        <v>0.06</v>
      </c>
      <c r="I938" s="17">
        <f>IF(A938="COMPOSICAO",VLOOKUP("TOTAL - "&amp;B938,COMPOSICAO_AUX_2!$A:$J,10,FALSE),VLOOKUP(B938,I!$A:$D,4,FALSE))</f>
        <v>14.96</v>
      </c>
      <c r="J938" s="80">
        <f t="shared" si="44"/>
        <v>0.89</v>
      </c>
      <c r="K938" s="81"/>
    </row>
    <row r="939" spans="1:13" ht="30" customHeight="1" x14ac:dyDescent="0.25">
      <c r="A939" s="16" t="s">
        <v>302</v>
      </c>
      <c r="B939" s="20">
        <v>88267</v>
      </c>
      <c r="C939" s="77" t="str">
        <f>VLOOKUP(B939,IF(A939="COMPOSICAO",S!$A:$D,I!$A:$D),2,FALSE)</f>
        <v>ENCANADOR OU BOMBEIRO HIDRÁULICO COM ENCARGOS COMPLEMENTARES</v>
      </c>
      <c r="D939" s="77"/>
      <c r="E939" s="77"/>
      <c r="F939" s="77"/>
      <c r="G939" s="16" t="str">
        <f>VLOOKUP(B939,IF(A939="COMPOSICAO",S!$A:$D,I!$A:$D),3,FALSE)</f>
        <v>H</v>
      </c>
      <c r="H939" s="17">
        <v>0.06</v>
      </c>
      <c r="I939" s="17">
        <f>IF(A939="COMPOSICAO",VLOOKUP("TOTAL - "&amp;B939,COMPOSICAO_AUX_2!$A:$J,10,FALSE),VLOOKUP(B939,I!$A:$D,4,FALSE))</f>
        <v>19.37</v>
      </c>
      <c r="J939" s="80">
        <f t="shared" si="44"/>
        <v>1.1599999999999999</v>
      </c>
      <c r="K939" s="81"/>
    </row>
    <row r="940" spans="1:13" ht="15" customHeight="1" x14ac:dyDescent="0.25">
      <c r="A940" s="23" t="s">
        <v>650</v>
      </c>
      <c r="B940" s="24"/>
      <c r="C940" s="24"/>
      <c r="D940" s="24"/>
      <c r="E940" s="24"/>
      <c r="F940" s="24"/>
      <c r="G940" s="25"/>
      <c r="H940" s="26"/>
      <c r="I940" s="27"/>
      <c r="J940" s="80">
        <f>SUM(J933:K939)</f>
        <v>3.87</v>
      </c>
      <c r="K940" s="81"/>
    </row>
    <row r="941" spans="1:13" ht="15" customHeight="1" x14ac:dyDescent="0.25">
      <c r="A941" s="3"/>
      <c r="B941" s="3"/>
      <c r="C941" s="3"/>
      <c r="D941" s="3"/>
      <c r="E941" s="3"/>
      <c r="F941" s="3"/>
      <c r="G941" s="3"/>
      <c r="H941" s="3"/>
      <c r="I941" s="3"/>
      <c r="J941" s="3"/>
      <c r="K941" s="3"/>
    </row>
    <row r="942" spans="1:13" ht="15" customHeight="1" x14ac:dyDescent="0.25">
      <c r="A942" s="10" t="s">
        <v>295</v>
      </c>
      <c r="B942" s="10" t="s">
        <v>31</v>
      </c>
      <c r="C942" s="82" t="s">
        <v>7</v>
      </c>
      <c r="D942" s="83"/>
      <c r="E942" s="83"/>
      <c r="F942" s="83"/>
      <c r="G942" s="6" t="s">
        <v>32</v>
      </c>
      <c r="H942" s="6" t="s">
        <v>296</v>
      </c>
      <c r="I942" s="6" t="s">
        <v>297</v>
      </c>
      <c r="J942" s="57" t="s">
        <v>9</v>
      </c>
      <c r="K942" s="58"/>
    </row>
    <row r="943" spans="1:13" ht="45" customHeight="1" x14ac:dyDescent="0.25">
      <c r="A943" s="6" t="s">
        <v>413</v>
      </c>
      <c r="B943" s="28">
        <v>89440</v>
      </c>
      <c r="C943" s="91" t="str">
        <f>VLOOKUP(B943,S!$A:$D,2,FALSE)</f>
        <v>TE, PVC, SOLDÁVEL, DN 25MM, INSTALADO EM RAMAL DE DISTRIBUIÇÃO DE ÁGUA - FORNECIMENTO E INSTALAÇÃO. AF_12/2014</v>
      </c>
      <c r="D943" s="91"/>
      <c r="E943" s="91"/>
      <c r="F943" s="92"/>
      <c r="G943" s="6" t="str">
        <f>VLOOKUP(B943,S!$A:$D,3,FALSE)</f>
        <v>UN</v>
      </c>
      <c r="H943" s="21"/>
      <c r="I943" s="21">
        <f>J950</f>
        <v>6.9700000000000006</v>
      </c>
      <c r="J943" s="76"/>
      <c r="K943" s="72"/>
      <c r="L943" s="21">
        <f>VLOOKUP(B943,S!$A:$D,4,FALSE)</f>
        <v>6.97</v>
      </c>
      <c r="M943" s="6" t="str">
        <f>IF(ROUND((L943-I943),2)=0,"OK, confere com a tabela.",IF(ROUND((L943-I943),2)&lt;0,"ACIMA ("&amp;TEXT(ROUND(I943*100/L943,4),"0,0000")&amp;" %) da tabela.","ABAIXO ("&amp;TEXT(ROUND(I943*100/L943,4),"0,0000")&amp;" %) da tabela."))</f>
        <v>OK, confere com a tabela.</v>
      </c>
    </row>
    <row r="944" spans="1:13" ht="15" customHeight="1" x14ac:dyDescent="0.25">
      <c r="A944" s="16" t="s">
        <v>306</v>
      </c>
      <c r="B944" s="20">
        <v>122</v>
      </c>
      <c r="C944" s="77" t="str">
        <f>VLOOKUP(B944,IF(A944="COMPOSICAO",S!$A:$D,I!$A:$D),2,FALSE)</f>
        <v>ADESIVO PLASTICO PARA PVC, FRASCO COM 850 GR</v>
      </c>
      <c r="D944" s="77"/>
      <c r="E944" s="77"/>
      <c r="F944" s="77"/>
      <c r="G944" s="16" t="str">
        <f>VLOOKUP(B944,IF(A944="COMPOSICAO",S!$A:$D,I!$A:$D),3,FALSE)</f>
        <v>UN</v>
      </c>
      <c r="H944" s="30">
        <v>1.0999999999999999E-2</v>
      </c>
      <c r="I944" s="17">
        <f>IF(A944="COMPOSICAO",VLOOKUP("TOTAL - "&amp;B944,COMPOSICAO_AUX_2!$A:$J,10,FALSE),VLOOKUP(B944,I!$A:$D,4,FALSE))</f>
        <v>65.489999999999995</v>
      </c>
      <c r="J944" s="80">
        <f t="shared" ref="J944:J949" si="45">TRUNC(H944*I944,2)</f>
        <v>0.72</v>
      </c>
      <c r="K944" s="81"/>
    </row>
    <row r="945" spans="1:13" ht="30" customHeight="1" x14ac:dyDescent="0.25">
      <c r="A945" s="16" t="s">
        <v>306</v>
      </c>
      <c r="B945" s="20">
        <v>7139</v>
      </c>
      <c r="C945" s="77" t="str">
        <f>VLOOKUP(B945,IF(A945="COMPOSICAO",S!$A:$D,I!$A:$D),2,FALSE)</f>
        <v>TE SOLDAVEL, PVC, 90 GRAUS, 25 MM, PARA AGUA FRIA PREDIAL (NBR 5648)</v>
      </c>
      <c r="D945" s="77"/>
      <c r="E945" s="77"/>
      <c r="F945" s="77"/>
      <c r="G945" s="16" t="str">
        <f>VLOOKUP(B945,IF(A945="COMPOSICAO",S!$A:$D,I!$A:$D),3,FALSE)</f>
        <v>UN</v>
      </c>
      <c r="H945" s="17">
        <v>1</v>
      </c>
      <c r="I945" s="17">
        <f>IF(A945="COMPOSICAO",VLOOKUP("TOTAL - "&amp;B945,COMPOSICAO_AUX_2!$A:$J,10,FALSE),VLOOKUP(B945,I!$A:$D,4,FALSE))</f>
        <v>1.37</v>
      </c>
      <c r="J945" s="80">
        <f t="shared" si="45"/>
        <v>1.37</v>
      </c>
      <c r="K945" s="81"/>
    </row>
    <row r="946" spans="1:13" ht="30" customHeight="1" x14ac:dyDescent="0.25">
      <c r="A946" s="16" t="s">
        <v>306</v>
      </c>
      <c r="B946" s="20">
        <v>20083</v>
      </c>
      <c r="C946" s="77" t="str">
        <f>VLOOKUP(B946,IF(A946="COMPOSICAO",S!$A:$D,I!$A:$D),2,FALSE)</f>
        <v>SOLUCAO LIMPADORA PARA PVC, FRASCO COM 1000 CM3</v>
      </c>
      <c r="D946" s="77"/>
      <c r="E946" s="77"/>
      <c r="F946" s="77"/>
      <c r="G946" s="16" t="str">
        <f>VLOOKUP(B946,IF(A946="COMPOSICAO",S!$A:$D,I!$A:$D),3,FALSE)</f>
        <v>UN</v>
      </c>
      <c r="H946" s="30">
        <v>1.2E-2</v>
      </c>
      <c r="I946" s="17">
        <f>IF(A946="COMPOSICAO",VLOOKUP("TOTAL - "&amp;B946,COMPOSICAO_AUX_2!$A:$J,10,FALSE),VLOOKUP(B946,I!$A:$D,4,FALSE))</f>
        <v>56.87</v>
      </c>
      <c r="J946" s="80">
        <f t="shared" si="45"/>
        <v>0.68</v>
      </c>
      <c r="K946" s="81"/>
    </row>
    <row r="947" spans="1:13" ht="15" customHeight="1" x14ac:dyDescent="0.25">
      <c r="A947" s="16" t="s">
        <v>306</v>
      </c>
      <c r="B947" s="20">
        <v>38383</v>
      </c>
      <c r="C947" s="77" t="str">
        <f>VLOOKUP(B947,IF(A947="COMPOSICAO",S!$A:$D,I!$A:$D),2,FALSE)</f>
        <v>LIXA D'AGUA EM FOLHA, GRAO 100</v>
      </c>
      <c r="D947" s="77"/>
      <c r="E947" s="77"/>
      <c r="F947" s="77"/>
      <c r="G947" s="16" t="str">
        <f>VLOOKUP(B947,IF(A947="COMPOSICAO",S!$A:$D,I!$A:$D),3,FALSE)</f>
        <v>UN</v>
      </c>
      <c r="H947" s="30">
        <v>4.4999999999999998E-2</v>
      </c>
      <c r="I947" s="17">
        <f>IF(A947="COMPOSICAO",VLOOKUP("TOTAL - "&amp;B947,COMPOSICAO_AUX_2!$A:$J,10,FALSE),VLOOKUP(B947,I!$A:$D,4,FALSE))</f>
        <v>2.06</v>
      </c>
      <c r="J947" s="80">
        <f t="shared" si="45"/>
        <v>0.09</v>
      </c>
      <c r="K947" s="81"/>
    </row>
    <row r="948" spans="1:13" ht="30" customHeight="1" x14ac:dyDescent="0.25">
      <c r="A948" s="16" t="s">
        <v>302</v>
      </c>
      <c r="B948" s="20">
        <v>88248</v>
      </c>
      <c r="C948" s="77" t="str">
        <f>VLOOKUP(B948,IF(A948="COMPOSICAO",S!$A:$D,I!$A:$D),2,FALSE)</f>
        <v>AUXILIAR DE ENCANADOR OU BOMBEIRO HIDRÁULICO COM ENCARGOS COMPLEMENTARES</v>
      </c>
      <c r="D948" s="77"/>
      <c r="E948" s="77"/>
      <c r="F948" s="77"/>
      <c r="G948" s="16" t="str">
        <f>VLOOKUP(B948,IF(A948="COMPOSICAO",S!$A:$D,I!$A:$D),3,FALSE)</f>
        <v>H</v>
      </c>
      <c r="H948" s="17">
        <v>0.12</v>
      </c>
      <c r="I948" s="17">
        <f>IF(A948="COMPOSICAO",VLOOKUP("TOTAL - "&amp;B948,COMPOSICAO_AUX_2!$A:$J,10,FALSE),VLOOKUP(B948,I!$A:$D,4,FALSE))</f>
        <v>14.96</v>
      </c>
      <c r="J948" s="80">
        <f t="shared" si="45"/>
        <v>1.79</v>
      </c>
      <c r="K948" s="81"/>
    </row>
    <row r="949" spans="1:13" ht="30" customHeight="1" x14ac:dyDescent="0.25">
      <c r="A949" s="16" t="s">
        <v>302</v>
      </c>
      <c r="B949" s="20">
        <v>88267</v>
      </c>
      <c r="C949" s="77" t="str">
        <f>VLOOKUP(B949,IF(A949="COMPOSICAO",S!$A:$D,I!$A:$D),2,FALSE)</f>
        <v>ENCANADOR OU BOMBEIRO HIDRÁULICO COM ENCARGOS COMPLEMENTARES</v>
      </c>
      <c r="D949" s="77"/>
      <c r="E949" s="77"/>
      <c r="F949" s="77"/>
      <c r="G949" s="16" t="str">
        <f>VLOOKUP(B949,IF(A949="COMPOSICAO",S!$A:$D,I!$A:$D),3,FALSE)</f>
        <v>H</v>
      </c>
      <c r="H949" s="17">
        <v>0.12</v>
      </c>
      <c r="I949" s="17">
        <f>IF(A949="COMPOSICAO",VLOOKUP("TOTAL - "&amp;B949,COMPOSICAO_AUX_2!$A:$J,10,FALSE),VLOOKUP(B949,I!$A:$D,4,FALSE))</f>
        <v>19.37</v>
      </c>
      <c r="J949" s="80">
        <f t="shared" si="45"/>
        <v>2.3199999999999998</v>
      </c>
      <c r="K949" s="81"/>
    </row>
    <row r="950" spans="1:13" ht="15" customHeight="1" x14ac:dyDescent="0.25">
      <c r="A950" s="23" t="s">
        <v>651</v>
      </c>
      <c r="B950" s="24"/>
      <c r="C950" s="24"/>
      <c r="D950" s="24"/>
      <c r="E950" s="24"/>
      <c r="F950" s="24"/>
      <c r="G950" s="25"/>
      <c r="H950" s="26"/>
      <c r="I950" s="27"/>
      <c r="J950" s="80">
        <f>SUM(J943:K949)</f>
        <v>6.9700000000000006</v>
      </c>
      <c r="K950" s="81"/>
    </row>
    <row r="951" spans="1:13" ht="15" customHeight="1" x14ac:dyDescent="0.25">
      <c r="A951" s="3"/>
      <c r="B951" s="3"/>
      <c r="C951" s="3"/>
      <c r="D951" s="3"/>
      <c r="E951" s="3"/>
      <c r="F951" s="3"/>
      <c r="G951" s="3"/>
      <c r="H951" s="3"/>
      <c r="I951" s="3"/>
      <c r="J951" s="3"/>
      <c r="K951" s="3"/>
    </row>
    <row r="952" spans="1:13" ht="15" customHeight="1" x14ac:dyDescent="0.25">
      <c r="A952" s="10" t="s">
        <v>295</v>
      </c>
      <c r="B952" s="10" t="s">
        <v>31</v>
      </c>
      <c r="C952" s="82" t="s">
        <v>7</v>
      </c>
      <c r="D952" s="83"/>
      <c r="E952" s="83"/>
      <c r="F952" s="83"/>
      <c r="G952" s="6" t="s">
        <v>32</v>
      </c>
      <c r="H952" s="6" t="s">
        <v>296</v>
      </c>
      <c r="I952" s="6" t="s">
        <v>297</v>
      </c>
      <c r="J952" s="57" t="s">
        <v>9</v>
      </c>
      <c r="K952" s="58"/>
    </row>
    <row r="953" spans="1:13" ht="60" customHeight="1" x14ac:dyDescent="0.25">
      <c r="A953" s="6" t="s">
        <v>413</v>
      </c>
      <c r="B953" s="28">
        <v>89445</v>
      </c>
      <c r="C953" s="91" t="str">
        <f>VLOOKUP(B953,S!$A:$D,2,FALSE)</f>
        <v>TÊ DE REDUÇÃO, PVC, SOLDÁVEL, DN 32MM X 25MM, INSTALADO EM RAMAL DE DISTRIBUIÇÃO DE ÁGUA - FORNECIMENTO E INSTALAÇÃO. AF_12/2014</v>
      </c>
      <c r="D953" s="91"/>
      <c r="E953" s="91"/>
      <c r="F953" s="92"/>
      <c r="G953" s="6" t="str">
        <f>VLOOKUP(B953,S!$A:$D,3,FALSE)</f>
        <v>UN</v>
      </c>
      <c r="H953" s="21"/>
      <c r="I953" s="21">
        <f>J960</f>
        <v>13.63</v>
      </c>
      <c r="J953" s="76"/>
      <c r="K953" s="72"/>
      <c r="L953" s="21">
        <f>VLOOKUP(B953,S!$A:$D,4,FALSE)</f>
        <v>13.63</v>
      </c>
      <c r="M953" s="6" t="str">
        <f>IF(ROUND((L953-I953),2)=0,"OK, confere com a tabela.",IF(ROUND((L953-I953),2)&lt;0,"ACIMA ("&amp;TEXT(ROUND(I953*100/L953,4),"0,0000")&amp;" %) da tabela.","ABAIXO ("&amp;TEXT(ROUND(I953*100/L953,4),"0,0000")&amp;" %) da tabela."))</f>
        <v>OK, confere com a tabela.</v>
      </c>
    </row>
    <row r="954" spans="1:13" ht="15" customHeight="1" x14ac:dyDescent="0.25">
      <c r="A954" s="16" t="s">
        <v>306</v>
      </c>
      <c r="B954" s="20">
        <v>122</v>
      </c>
      <c r="C954" s="77" t="str">
        <f>VLOOKUP(B954,IF(A954="COMPOSICAO",S!$A:$D,I!$A:$D),2,FALSE)</f>
        <v>ADESIVO PLASTICO PARA PVC, FRASCO COM 850 GR</v>
      </c>
      <c r="D954" s="77"/>
      <c r="E954" s="77"/>
      <c r="F954" s="77"/>
      <c r="G954" s="16" t="str">
        <f>VLOOKUP(B954,IF(A954="COMPOSICAO",S!$A:$D,I!$A:$D),3,FALSE)</f>
        <v>UN</v>
      </c>
      <c r="H954" s="30">
        <v>1.4E-2</v>
      </c>
      <c r="I954" s="17">
        <f>IF(A954="COMPOSICAO",VLOOKUP("TOTAL - "&amp;B954,COMPOSICAO_AUX_2!$A:$J,10,FALSE),VLOOKUP(B954,I!$A:$D,4,FALSE))</f>
        <v>65.489999999999995</v>
      </c>
      <c r="J954" s="80">
        <f t="shared" ref="J954:J959" si="46">TRUNC(H954*I954,2)</f>
        <v>0.91</v>
      </c>
      <c r="K954" s="81"/>
    </row>
    <row r="955" spans="1:13" ht="30" customHeight="1" x14ac:dyDescent="0.25">
      <c r="A955" s="16" t="s">
        <v>306</v>
      </c>
      <c r="B955" s="20">
        <v>7136</v>
      </c>
      <c r="C955" s="77" t="str">
        <f>VLOOKUP(B955,IF(A955="COMPOSICAO",S!$A:$D,I!$A:$D),2,FALSE)</f>
        <v>TE DE REDUCAO, PVC, SOLDAVEL, 90 GRAUS, 32 MM X 25 MM, PARA AGUA FRIA PREDIAL</v>
      </c>
      <c r="D955" s="77"/>
      <c r="E955" s="77"/>
      <c r="F955" s="77"/>
      <c r="G955" s="16" t="str">
        <f>VLOOKUP(B955,IF(A955="COMPOSICAO",S!$A:$D,I!$A:$D),3,FALSE)</f>
        <v>UN</v>
      </c>
      <c r="H955" s="17">
        <v>1</v>
      </c>
      <c r="I955" s="17">
        <f>IF(A955="COMPOSICAO",VLOOKUP("TOTAL - "&amp;B955,COMPOSICAO_AUX_2!$A:$J,10,FALSE),VLOOKUP(B955,I!$A:$D,4,FALSE))</f>
        <v>6.77</v>
      </c>
      <c r="J955" s="80">
        <f t="shared" si="46"/>
        <v>6.77</v>
      </c>
      <c r="K955" s="81"/>
    </row>
    <row r="956" spans="1:13" ht="30" customHeight="1" x14ac:dyDescent="0.25">
      <c r="A956" s="16" t="s">
        <v>306</v>
      </c>
      <c r="B956" s="20">
        <v>20083</v>
      </c>
      <c r="C956" s="77" t="str">
        <f>VLOOKUP(B956,IF(A956="COMPOSICAO",S!$A:$D,I!$A:$D),2,FALSE)</f>
        <v>SOLUCAO LIMPADORA PARA PVC, FRASCO COM 1000 CM3</v>
      </c>
      <c r="D956" s="77"/>
      <c r="E956" s="77"/>
      <c r="F956" s="77"/>
      <c r="G956" s="16" t="str">
        <f>VLOOKUP(B956,IF(A956="COMPOSICAO",S!$A:$D,I!$A:$D),3,FALSE)</f>
        <v>UN</v>
      </c>
      <c r="H956" s="30">
        <v>1.7000000000000001E-2</v>
      </c>
      <c r="I956" s="17">
        <f>IF(A956="COMPOSICAO",VLOOKUP("TOTAL - "&amp;B956,COMPOSICAO_AUX_2!$A:$J,10,FALSE),VLOOKUP(B956,I!$A:$D,4,FALSE))</f>
        <v>56.87</v>
      </c>
      <c r="J956" s="80">
        <f t="shared" si="46"/>
        <v>0.96</v>
      </c>
      <c r="K956" s="81"/>
    </row>
    <row r="957" spans="1:13" ht="15" customHeight="1" x14ac:dyDescent="0.25">
      <c r="A957" s="16" t="s">
        <v>306</v>
      </c>
      <c r="B957" s="20">
        <v>38383</v>
      </c>
      <c r="C957" s="77" t="str">
        <f>VLOOKUP(B957,IF(A957="COMPOSICAO",S!$A:$D,I!$A:$D),2,FALSE)</f>
        <v>LIXA D'AGUA EM FOLHA, GRAO 100</v>
      </c>
      <c r="D957" s="77"/>
      <c r="E957" s="77"/>
      <c r="F957" s="77"/>
      <c r="G957" s="16" t="str">
        <f>VLOOKUP(B957,IF(A957="COMPOSICAO",S!$A:$D,I!$A:$D),3,FALSE)</f>
        <v>UN</v>
      </c>
      <c r="H957" s="30">
        <v>5.2999999999999999E-2</v>
      </c>
      <c r="I957" s="17">
        <f>IF(A957="COMPOSICAO",VLOOKUP("TOTAL - "&amp;B957,COMPOSICAO_AUX_2!$A:$J,10,FALSE),VLOOKUP(B957,I!$A:$D,4,FALSE))</f>
        <v>2.06</v>
      </c>
      <c r="J957" s="80">
        <f t="shared" si="46"/>
        <v>0.1</v>
      </c>
      <c r="K957" s="81"/>
    </row>
    <row r="958" spans="1:13" ht="30" customHeight="1" x14ac:dyDescent="0.25">
      <c r="A958" s="16" t="s">
        <v>302</v>
      </c>
      <c r="B958" s="20">
        <v>88248</v>
      </c>
      <c r="C958" s="77" t="str">
        <f>VLOOKUP(B958,IF(A958="COMPOSICAO",S!$A:$D,I!$A:$D),2,FALSE)</f>
        <v>AUXILIAR DE ENCANADOR OU BOMBEIRO HIDRÁULICO COM ENCARGOS COMPLEMENTARES</v>
      </c>
      <c r="D958" s="77"/>
      <c r="E958" s="77"/>
      <c r="F958" s="77"/>
      <c r="G958" s="16" t="str">
        <f>VLOOKUP(B958,IF(A958="COMPOSICAO",S!$A:$D,I!$A:$D),3,FALSE)</f>
        <v>H</v>
      </c>
      <c r="H958" s="30">
        <v>0.14299999999999999</v>
      </c>
      <c r="I958" s="17">
        <f>IF(A958="COMPOSICAO",VLOOKUP("TOTAL - "&amp;B958,COMPOSICAO_AUX_2!$A:$J,10,FALSE),VLOOKUP(B958,I!$A:$D,4,FALSE))</f>
        <v>14.96</v>
      </c>
      <c r="J958" s="80">
        <f t="shared" si="46"/>
        <v>2.13</v>
      </c>
      <c r="K958" s="81"/>
    </row>
    <row r="959" spans="1:13" ht="30" customHeight="1" x14ac:dyDescent="0.25">
      <c r="A959" s="16" t="s">
        <v>302</v>
      </c>
      <c r="B959" s="20">
        <v>88267</v>
      </c>
      <c r="C959" s="77" t="str">
        <f>VLOOKUP(B959,IF(A959="COMPOSICAO",S!$A:$D,I!$A:$D),2,FALSE)</f>
        <v>ENCANADOR OU BOMBEIRO HIDRÁULICO COM ENCARGOS COMPLEMENTARES</v>
      </c>
      <c r="D959" s="77"/>
      <c r="E959" s="77"/>
      <c r="F959" s="77"/>
      <c r="G959" s="16" t="str">
        <f>VLOOKUP(B959,IF(A959="COMPOSICAO",S!$A:$D,I!$A:$D),3,FALSE)</f>
        <v>H</v>
      </c>
      <c r="H959" s="30">
        <v>0.14299999999999999</v>
      </c>
      <c r="I959" s="17">
        <f>IF(A959="COMPOSICAO",VLOOKUP("TOTAL - "&amp;B959,COMPOSICAO_AUX_2!$A:$J,10,FALSE),VLOOKUP(B959,I!$A:$D,4,FALSE))</f>
        <v>19.37</v>
      </c>
      <c r="J959" s="80">
        <f t="shared" si="46"/>
        <v>2.76</v>
      </c>
      <c r="K959" s="81"/>
    </row>
    <row r="960" spans="1:13" ht="15" customHeight="1" x14ac:dyDescent="0.25">
      <c r="A960" s="23" t="s">
        <v>652</v>
      </c>
      <c r="B960" s="24"/>
      <c r="C960" s="24"/>
      <c r="D960" s="24"/>
      <c r="E960" s="24"/>
      <c r="F960" s="24"/>
      <c r="G960" s="25"/>
      <c r="H960" s="26"/>
      <c r="I960" s="27"/>
      <c r="J960" s="80">
        <f>SUM(J953:K959)</f>
        <v>13.63</v>
      </c>
      <c r="K960" s="81"/>
    </row>
    <row r="961" spans="1:13" ht="15" customHeight="1" x14ac:dyDescent="0.25">
      <c r="A961" s="3"/>
      <c r="B961" s="3"/>
      <c r="C961" s="3"/>
      <c r="D961" s="3"/>
      <c r="E961" s="3"/>
      <c r="F961" s="3"/>
      <c r="G961" s="3"/>
      <c r="H961" s="3"/>
      <c r="I961" s="3"/>
      <c r="J961" s="3"/>
      <c r="K961" s="3"/>
    </row>
    <row r="962" spans="1:13" ht="15" customHeight="1" x14ac:dyDescent="0.25">
      <c r="A962" s="10" t="s">
        <v>295</v>
      </c>
      <c r="B962" s="10" t="s">
        <v>31</v>
      </c>
      <c r="C962" s="82" t="s">
        <v>7</v>
      </c>
      <c r="D962" s="83"/>
      <c r="E962" s="83"/>
      <c r="F962" s="83"/>
      <c r="G962" s="6" t="s">
        <v>32</v>
      </c>
      <c r="H962" s="6" t="s">
        <v>296</v>
      </c>
      <c r="I962" s="6" t="s">
        <v>297</v>
      </c>
      <c r="J962" s="57" t="s">
        <v>9</v>
      </c>
      <c r="K962" s="58"/>
    </row>
    <row r="963" spans="1:13" ht="45" customHeight="1" x14ac:dyDescent="0.25">
      <c r="A963" s="6" t="s">
        <v>413</v>
      </c>
      <c r="B963" s="28">
        <v>89446</v>
      </c>
      <c r="C963" s="91" t="str">
        <f>VLOOKUP(B963,S!$A:$D,2,FALSE)</f>
        <v>TUBO, PVC, SOLDÁVEL, DN 25MM, INSTALADO EM PRUMADA DE ÁGUA - FORNECIMENTO E INSTALAÇÃO. AF_12/2014</v>
      </c>
      <c r="D963" s="91"/>
      <c r="E963" s="91"/>
      <c r="F963" s="92"/>
      <c r="G963" s="6" t="str">
        <f>VLOOKUP(B963,S!$A:$D,3,FALSE)</f>
        <v>M</v>
      </c>
      <c r="H963" s="21"/>
      <c r="I963" s="21">
        <f>J967</f>
        <v>4.88</v>
      </c>
      <c r="J963" s="76"/>
      <c r="K963" s="72"/>
      <c r="L963" s="21">
        <f>VLOOKUP(B963,S!$A:$D,4,FALSE)</f>
        <v>4.88</v>
      </c>
      <c r="M963" s="6" t="str">
        <f>IF(ROUND((L963-I963),2)=0,"OK, confere com a tabela.",IF(ROUND((L963-I963),2)&lt;0,"ACIMA ("&amp;TEXT(ROUND(I963*100/L963,4),"0,0000")&amp;" %) da tabela.","ABAIXO ("&amp;TEXT(ROUND(I963*100/L963,4),"0,0000")&amp;" %) da tabela."))</f>
        <v>OK, confere com a tabela.</v>
      </c>
    </row>
    <row r="964" spans="1:13" ht="30" customHeight="1" x14ac:dyDescent="0.25">
      <c r="A964" s="16" t="s">
        <v>306</v>
      </c>
      <c r="B964" s="20">
        <v>9868</v>
      </c>
      <c r="C964" s="77" t="str">
        <f>VLOOKUP(B964,IF(A964="COMPOSICAO",S!$A:$D,I!$A:$D),2,FALSE)</f>
        <v>TUBO PVC, SOLDAVEL, DN 25 MM, AGUA FRIA (NBR-5648)</v>
      </c>
      <c r="D964" s="77"/>
      <c r="E964" s="77"/>
      <c r="F964" s="77"/>
      <c r="G964" s="16" t="str">
        <f>VLOOKUP(B964,IF(A964="COMPOSICAO",S!$A:$D,I!$A:$D),3,FALSE)</f>
        <v>M</v>
      </c>
      <c r="H964" s="30">
        <v>1.0609999999999999</v>
      </c>
      <c r="I964" s="17">
        <f>IF(A964="COMPOSICAO",VLOOKUP("TOTAL - "&amp;B964,COMPOSICAO_AUX_2!$A:$J,10,FALSE),VLOOKUP(B964,I!$A:$D,4,FALSE))</f>
        <v>4.0999999999999996</v>
      </c>
      <c r="J964" s="80">
        <f>TRUNC(H964*I964,2)</f>
        <v>4.3499999999999996</v>
      </c>
      <c r="K964" s="81"/>
    </row>
    <row r="965" spans="1:13" ht="30" customHeight="1" x14ac:dyDescent="0.25">
      <c r="A965" s="16" t="s">
        <v>302</v>
      </c>
      <c r="B965" s="20">
        <v>88248</v>
      </c>
      <c r="C965" s="77" t="str">
        <f>VLOOKUP(B965,IF(A965="COMPOSICAO",S!$A:$D,I!$A:$D),2,FALSE)</f>
        <v>AUXILIAR DE ENCANADOR OU BOMBEIRO HIDRÁULICO COM ENCARGOS COMPLEMENTARES</v>
      </c>
      <c r="D965" s="77"/>
      <c r="E965" s="77"/>
      <c r="F965" s="77"/>
      <c r="G965" s="16" t="str">
        <f>VLOOKUP(B965,IF(A965="COMPOSICAO",S!$A:$D,I!$A:$D),3,FALSE)</f>
        <v>H</v>
      </c>
      <c r="H965" s="30">
        <v>1.6E-2</v>
      </c>
      <c r="I965" s="17">
        <f>IF(A965="COMPOSICAO",VLOOKUP("TOTAL - "&amp;B965,COMPOSICAO_AUX_2!$A:$J,10,FALSE),VLOOKUP(B965,I!$A:$D,4,FALSE))</f>
        <v>14.96</v>
      </c>
      <c r="J965" s="80">
        <f>TRUNC(H965*I965,2)</f>
        <v>0.23</v>
      </c>
      <c r="K965" s="81"/>
    </row>
    <row r="966" spans="1:13" ht="30" customHeight="1" x14ac:dyDescent="0.25">
      <c r="A966" s="16" t="s">
        <v>302</v>
      </c>
      <c r="B966" s="20">
        <v>88267</v>
      </c>
      <c r="C966" s="77" t="str">
        <f>VLOOKUP(B966,IF(A966="COMPOSICAO",S!$A:$D,I!$A:$D),2,FALSE)</f>
        <v>ENCANADOR OU BOMBEIRO HIDRÁULICO COM ENCARGOS COMPLEMENTARES</v>
      </c>
      <c r="D966" s="77"/>
      <c r="E966" s="77"/>
      <c r="F966" s="77"/>
      <c r="G966" s="16" t="str">
        <f>VLOOKUP(B966,IF(A966="COMPOSICAO",S!$A:$D,I!$A:$D),3,FALSE)</f>
        <v>H</v>
      </c>
      <c r="H966" s="30">
        <v>1.6E-2</v>
      </c>
      <c r="I966" s="17">
        <f>IF(A966="COMPOSICAO",VLOOKUP("TOTAL - "&amp;B966,COMPOSICAO_AUX_2!$A:$J,10,FALSE),VLOOKUP(B966,I!$A:$D,4,FALSE))</f>
        <v>19.37</v>
      </c>
      <c r="J966" s="80">
        <f>TRUNC(H966*I966,2)</f>
        <v>0.3</v>
      </c>
      <c r="K966" s="81"/>
    </row>
    <row r="967" spans="1:13" ht="15" customHeight="1" x14ac:dyDescent="0.25">
      <c r="A967" s="23" t="s">
        <v>653</v>
      </c>
      <c r="B967" s="24"/>
      <c r="C967" s="24"/>
      <c r="D967" s="24"/>
      <c r="E967" s="24"/>
      <c r="F967" s="24"/>
      <c r="G967" s="25"/>
      <c r="H967" s="26"/>
      <c r="I967" s="27"/>
      <c r="J967" s="80">
        <f>SUM(J963:K966)</f>
        <v>4.88</v>
      </c>
      <c r="K967" s="81"/>
    </row>
    <row r="968" spans="1:13" ht="15" customHeight="1" x14ac:dyDescent="0.25">
      <c r="A968" s="3"/>
      <c r="B968" s="3"/>
      <c r="C968" s="3"/>
      <c r="D968" s="3"/>
      <c r="E968" s="3"/>
      <c r="F968" s="3"/>
      <c r="G968" s="3"/>
      <c r="H968" s="3"/>
      <c r="I968" s="3"/>
      <c r="J968" s="3"/>
      <c r="K968" s="3"/>
    </row>
    <row r="969" spans="1:13" ht="15" customHeight="1" x14ac:dyDescent="0.25">
      <c r="A969" s="10" t="s">
        <v>295</v>
      </c>
      <c r="B969" s="10" t="s">
        <v>31</v>
      </c>
      <c r="C969" s="82" t="s">
        <v>7</v>
      </c>
      <c r="D969" s="83"/>
      <c r="E969" s="83"/>
      <c r="F969" s="83"/>
      <c r="G969" s="6" t="s">
        <v>32</v>
      </c>
      <c r="H969" s="6" t="s">
        <v>296</v>
      </c>
      <c r="I969" s="6" t="s">
        <v>297</v>
      </c>
      <c r="J969" s="57" t="s">
        <v>9</v>
      </c>
      <c r="K969" s="58"/>
    </row>
    <row r="970" spans="1:13" ht="45" customHeight="1" x14ac:dyDescent="0.25">
      <c r="A970" s="6" t="s">
        <v>413</v>
      </c>
      <c r="B970" s="28">
        <v>89481</v>
      </c>
      <c r="C970" s="91" t="str">
        <f>VLOOKUP(B970,S!$A:$D,2,FALSE)</f>
        <v>JOELHO 90 GRAUS, PVC, SOLDÁVEL, DN 25MM, INSTALADO EM PRUMADA DE ÁGUA - FORNECIMENTO E INSTALAÇÃO. AF_12/2014</v>
      </c>
      <c r="D970" s="91"/>
      <c r="E970" s="91"/>
      <c r="F970" s="92"/>
      <c r="G970" s="6" t="str">
        <f>VLOOKUP(B970,S!$A:$D,3,FALSE)</f>
        <v>UN</v>
      </c>
      <c r="H970" s="21"/>
      <c r="I970" s="21">
        <f>J977</f>
        <v>3.7800000000000002</v>
      </c>
      <c r="J970" s="76"/>
      <c r="K970" s="72"/>
      <c r="L970" s="21">
        <f>VLOOKUP(B970,S!$A:$D,4,FALSE)</f>
        <v>3.78</v>
      </c>
      <c r="M970" s="6" t="str">
        <f>IF(ROUND((L970-I970),2)=0,"OK, confere com a tabela.",IF(ROUND((L970-I970),2)&lt;0,"ACIMA ("&amp;TEXT(ROUND(I970*100/L970,4),"0,0000")&amp;" %) da tabela.","ABAIXO ("&amp;TEXT(ROUND(I970*100/L970,4),"0,0000")&amp;" %) da tabela."))</f>
        <v>OK, confere com a tabela.</v>
      </c>
    </row>
    <row r="971" spans="1:13" ht="15" customHeight="1" x14ac:dyDescent="0.25">
      <c r="A971" s="16" t="s">
        <v>306</v>
      </c>
      <c r="B971" s="20">
        <v>122</v>
      </c>
      <c r="C971" s="77" t="str">
        <f>VLOOKUP(B971,IF(A971="COMPOSICAO",S!$A:$D,I!$A:$D),2,FALSE)</f>
        <v>ADESIVO PLASTICO PARA PVC, FRASCO COM 850 GR</v>
      </c>
      <c r="D971" s="77"/>
      <c r="E971" s="77"/>
      <c r="F971" s="77"/>
      <c r="G971" s="16" t="str">
        <f>VLOOKUP(B971,IF(A971="COMPOSICAO",S!$A:$D,I!$A:$D),3,FALSE)</f>
        <v>UN</v>
      </c>
      <c r="H971" s="30">
        <v>7.0000000000000001E-3</v>
      </c>
      <c r="I971" s="17">
        <f>IF(A971="COMPOSICAO",VLOOKUP("TOTAL - "&amp;B971,COMPOSICAO_AUX_2!$A:$J,10,FALSE),VLOOKUP(B971,I!$A:$D,4,FALSE))</f>
        <v>65.489999999999995</v>
      </c>
      <c r="J971" s="80">
        <f t="shared" ref="J971:J976" si="47">TRUNC(H971*I971,2)</f>
        <v>0.45</v>
      </c>
      <c r="K971" s="81"/>
    </row>
    <row r="972" spans="1:13" ht="30" customHeight="1" x14ac:dyDescent="0.25">
      <c r="A972" s="16" t="s">
        <v>306</v>
      </c>
      <c r="B972" s="20">
        <v>3529</v>
      </c>
      <c r="C972" s="77" t="str">
        <f>VLOOKUP(B972,IF(A972="COMPOSICAO",S!$A:$D,I!$A:$D),2,FALSE)</f>
        <v>JOELHO PVC, SOLDAVEL, 90 GRAUS, 25 MM, PARA AGUA FRIA PREDIAL</v>
      </c>
      <c r="D972" s="77"/>
      <c r="E972" s="77"/>
      <c r="F972" s="77"/>
      <c r="G972" s="16" t="str">
        <f>VLOOKUP(B972,IF(A972="COMPOSICAO",S!$A:$D,I!$A:$D),3,FALSE)</f>
        <v>UN</v>
      </c>
      <c r="H972" s="17">
        <v>1</v>
      </c>
      <c r="I972" s="17">
        <f>IF(A972="COMPOSICAO",VLOOKUP("TOTAL - "&amp;B972,COMPOSICAO_AUX_2!$A:$J,10,FALSE),VLOOKUP(B972,I!$A:$D,4,FALSE))</f>
        <v>0.81</v>
      </c>
      <c r="J972" s="80">
        <f t="shared" si="47"/>
        <v>0.81</v>
      </c>
      <c r="K972" s="81"/>
    </row>
    <row r="973" spans="1:13" ht="30" customHeight="1" x14ac:dyDescent="0.25">
      <c r="A973" s="16" t="s">
        <v>306</v>
      </c>
      <c r="B973" s="20">
        <v>20083</v>
      </c>
      <c r="C973" s="77" t="str">
        <f>VLOOKUP(B973,IF(A973="COMPOSICAO",S!$A:$D,I!$A:$D),2,FALSE)</f>
        <v>SOLUCAO LIMPADORA PARA PVC, FRASCO COM 1000 CM3</v>
      </c>
      <c r="D973" s="77"/>
      <c r="E973" s="77"/>
      <c r="F973" s="77"/>
      <c r="G973" s="16" t="str">
        <f>VLOOKUP(B973,IF(A973="COMPOSICAO",S!$A:$D,I!$A:$D),3,FALSE)</f>
        <v>UN</v>
      </c>
      <c r="H973" s="30">
        <v>8.0000000000000002E-3</v>
      </c>
      <c r="I973" s="17">
        <f>IF(A973="COMPOSICAO",VLOOKUP("TOTAL - "&amp;B973,COMPOSICAO_AUX_2!$A:$J,10,FALSE),VLOOKUP(B973,I!$A:$D,4,FALSE))</f>
        <v>56.87</v>
      </c>
      <c r="J973" s="80">
        <f t="shared" si="47"/>
        <v>0.45</v>
      </c>
      <c r="K973" s="81"/>
    </row>
    <row r="974" spans="1:13" ht="15" customHeight="1" x14ac:dyDescent="0.25">
      <c r="A974" s="16" t="s">
        <v>306</v>
      </c>
      <c r="B974" s="20">
        <v>38383</v>
      </c>
      <c r="C974" s="77" t="str">
        <f>VLOOKUP(B974,IF(A974="COMPOSICAO",S!$A:$D,I!$A:$D),2,FALSE)</f>
        <v>LIXA D'AGUA EM FOLHA, GRAO 100</v>
      </c>
      <c r="D974" s="77"/>
      <c r="E974" s="77"/>
      <c r="F974" s="77"/>
      <c r="G974" s="16" t="str">
        <f>VLOOKUP(B974,IF(A974="COMPOSICAO",S!$A:$D,I!$A:$D),3,FALSE)</f>
        <v>UN</v>
      </c>
      <c r="H974" s="30">
        <v>1.2999999999999999E-2</v>
      </c>
      <c r="I974" s="17">
        <f>IF(A974="COMPOSICAO",VLOOKUP("TOTAL - "&amp;B974,COMPOSICAO_AUX_2!$A:$J,10,FALSE),VLOOKUP(B974,I!$A:$D,4,FALSE))</f>
        <v>2.06</v>
      </c>
      <c r="J974" s="80">
        <f t="shared" si="47"/>
        <v>0.02</v>
      </c>
      <c r="K974" s="81"/>
    </row>
    <row r="975" spans="1:13" ht="30" customHeight="1" x14ac:dyDescent="0.25">
      <c r="A975" s="16" t="s">
        <v>302</v>
      </c>
      <c r="B975" s="20">
        <v>88248</v>
      </c>
      <c r="C975" s="77" t="str">
        <f>VLOOKUP(B975,IF(A975="COMPOSICAO",S!$A:$D,I!$A:$D),2,FALSE)</f>
        <v>AUXILIAR DE ENCANADOR OU BOMBEIRO HIDRÁULICO COM ENCARGOS COMPLEMENTARES</v>
      </c>
      <c r="D975" s="77"/>
      <c r="E975" s="77"/>
      <c r="F975" s="77"/>
      <c r="G975" s="16" t="str">
        <f>VLOOKUP(B975,IF(A975="COMPOSICAO",S!$A:$D,I!$A:$D),3,FALSE)</f>
        <v>H</v>
      </c>
      <c r="H975" s="17">
        <v>0.06</v>
      </c>
      <c r="I975" s="17">
        <f>IF(A975="COMPOSICAO",VLOOKUP("TOTAL - "&amp;B975,COMPOSICAO_AUX_2!$A:$J,10,FALSE),VLOOKUP(B975,I!$A:$D,4,FALSE))</f>
        <v>14.96</v>
      </c>
      <c r="J975" s="80">
        <f t="shared" si="47"/>
        <v>0.89</v>
      </c>
      <c r="K975" s="81"/>
    </row>
    <row r="976" spans="1:13" ht="30" customHeight="1" x14ac:dyDescent="0.25">
      <c r="A976" s="16" t="s">
        <v>302</v>
      </c>
      <c r="B976" s="20">
        <v>88267</v>
      </c>
      <c r="C976" s="77" t="str">
        <f>VLOOKUP(B976,IF(A976="COMPOSICAO",S!$A:$D,I!$A:$D),2,FALSE)</f>
        <v>ENCANADOR OU BOMBEIRO HIDRÁULICO COM ENCARGOS COMPLEMENTARES</v>
      </c>
      <c r="D976" s="77"/>
      <c r="E976" s="77"/>
      <c r="F976" s="77"/>
      <c r="G976" s="16" t="str">
        <f>VLOOKUP(B976,IF(A976="COMPOSICAO",S!$A:$D,I!$A:$D),3,FALSE)</f>
        <v>H</v>
      </c>
      <c r="H976" s="17">
        <v>0.06</v>
      </c>
      <c r="I976" s="17">
        <f>IF(A976="COMPOSICAO",VLOOKUP("TOTAL - "&amp;B976,COMPOSICAO_AUX_2!$A:$J,10,FALSE),VLOOKUP(B976,I!$A:$D,4,FALSE))</f>
        <v>19.37</v>
      </c>
      <c r="J976" s="80">
        <f t="shared" si="47"/>
        <v>1.1599999999999999</v>
      </c>
      <c r="K976" s="81"/>
    </row>
    <row r="977" spans="1:13" ht="15" customHeight="1" x14ac:dyDescent="0.25">
      <c r="A977" s="23" t="s">
        <v>654</v>
      </c>
      <c r="B977" s="24"/>
      <c r="C977" s="24"/>
      <c r="D977" s="24"/>
      <c r="E977" s="24"/>
      <c r="F977" s="24"/>
      <c r="G977" s="25"/>
      <c r="H977" s="26"/>
      <c r="I977" s="27"/>
      <c r="J977" s="80">
        <f>SUM(J970:K976)</f>
        <v>3.7800000000000002</v>
      </c>
      <c r="K977" s="81"/>
    </row>
    <row r="978" spans="1:13" ht="15" customHeight="1" x14ac:dyDescent="0.25">
      <c r="A978" s="3"/>
      <c r="B978" s="3"/>
      <c r="C978" s="3"/>
      <c r="D978" s="3"/>
      <c r="E978" s="3"/>
      <c r="F978" s="3"/>
      <c r="G978" s="3"/>
      <c r="H978" s="3"/>
      <c r="I978" s="3"/>
      <c r="J978" s="3"/>
      <c r="K978" s="3"/>
    </row>
    <row r="979" spans="1:13" ht="15" customHeight="1" x14ac:dyDescent="0.25">
      <c r="A979" s="10" t="s">
        <v>295</v>
      </c>
      <c r="B979" s="10" t="s">
        <v>31</v>
      </c>
      <c r="C979" s="82" t="s">
        <v>7</v>
      </c>
      <c r="D979" s="83"/>
      <c r="E979" s="83"/>
      <c r="F979" s="83"/>
      <c r="G979" s="6" t="s">
        <v>32</v>
      </c>
      <c r="H979" s="6" t="s">
        <v>296</v>
      </c>
      <c r="I979" s="6" t="s">
        <v>297</v>
      </c>
      <c r="J979" s="57" t="s">
        <v>9</v>
      </c>
      <c r="K979" s="58"/>
    </row>
    <row r="980" spans="1:13" ht="45" customHeight="1" x14ac:dyDescent="0.25">
      <c r="A980" s="6" t="s">
        <v>413</v>
      </c>
      <c r="B980" s="28">
        <v>89528</v>
      </c>
      <c r="C980" s="91" t="str">
        <f>VLOOKUP(B980,S!$A:$D,2,FALSE)</f>
        <v>LUVA, PVC, SOLDÁVEL, DN 25MM, INSTALADO EM PRUMADA DE ÁGUA - FORNECIMENTO E INSTALAÇÃO. AF_12/2014</v>
      </c>
      <c r="D980" s="91"/>
      <c r="E980" s="91"/>
      <c r="F980" s="92"/>
      <c r="G980" s="6" t="str">
        <f>VLOOKUP(B980,S!$A:$D,3,FALSE)</f>
        <v>UN</v>
      </c>
      <c r="H980" s="21"/>
      <c r="I980" s="21">
        <f>J987</f>
        <v>3.14</v>
      </c>
      <c r="J980" s="76"/>
      <c r="K980" s="72"/>
      <c r="L980" s="21">
        <f>VLOOKUP(B980,S!$A:$D,4,FALSE)</f>
        <v>3.14</v>
      </c>
      <c r="M980" s="6" t="str">
        <f>IF(ROUND((L980-I980),2)=0,"OK, confere com a tabela.",IF(ROUND((L980-I980),2)&lt;0,"ACIMA ("&amp;TEXT(ROUND(I980*100/L980,4),"0,0000")&amp;" %) da tabela.","ABAIXO ("&amp;TEXT(ROUND(I980*100/L980,4),"0,0000")&amp;" %) da tabela."))</f>
        <v>OK, confere com a tabela.</v>
      </c>
    </row>
    <row r="981" spans="1:13" ht="15" customHeight="1" x14ac:dyDescent="0.25">
      <c r="A981" s="16" t="s">
        <v>306</v>
      </c>
      <c r="B981" s="20">
        <v>122</v>
      </c>
      <c r="C981" s="77" t="str">
        <f>VLOOKUP(B981,IF(A981="COMPOSICAO",S!$A:$D,I!$A:$D),2,FALSE)</f>
        <v>ADESIVO PLASTICO PARA PVC, FRASCO COM 850 GR</v>
      </c>
      <c r="D981" s="77"/>
      <c r="E981" s="77"/>
      <c r="F981" s="77"/>
      <c r="G981" s="16" t="str">
        <f>VLOOKUP(B981,IF(A981="COMPOSICAO",S!$A:$D,I!$A:$D),3,FALSE)</f>
        <v>UN</v>
      </c>
      <c r="H981" s="30">
        <v>7.0000000000000001E-3</v>
      </c>
      <c r="I981" s="17">
        <f>IF(A981="COMPOSICAO",VLOOKUP("TOTAL - "&amp;B981,COMPOSICAO_AUX_2!$A:$J,10,FALSE),VLOOKUP(B981,I!$A:$D,4,FALSE))</f>
        <v>65.489999999999995</v>
      </c>
      <c r="J981" s="80">
        <f t="shared" ref="J981:J986" si="48">TRUNC(H981*I981,2)</f>
        <v>0.45</v>
      </c>
      <c r="K981" s="81"/>
    </row>
    <row r="982" spans="1:13" ht="30" customHeight="1" x14ac:dyDescent="0.25">
      <c r="A982" s="16" t="s">
        <v>306</v>
      </c>
      <c r="B982" s="20">
        <v>3904</v>
      </c>
      <c r="C982" s="77" t="str">
        <f>VLOOKUP(B982,IF(A982="COMPOSICAO",S!$A:$D,I!$A:$D),2,FALSE)</f>
        <v>LUVA PVC SOLDAVEL, 25 MM, PARA AGUA FRIA PREDIAL</v>
      </c>
      <c r="D982" s="77"/>
      <c r="E982" s="77"/>
      <c r="F982" s="77"/>
      <c r="G982" s="16" t="str">
        <f>VLOOKUP(B982,IF(A982="COMPOSICAO",S!$A:$D,I!$A:$D),3,FALSE)</f>
        <v>UN</v>
      </c>
      <c r="H982" s="17">
        <v>1</v>
      </c>
      <c r="I982" s="17">
        <f>IF(A982="COMPOSICAO",VLOOKUP("TOTAL - "&amp;B982,COMPOSICAO_AUX_2!$A:$J,10,FALSE),VLOOKUP(B982,I!$A:$D,4,FALSE))</f>
        <v>0.86</v>
      </c>
      <c r="J982" s="80">
        <f t="shared" si="48"/>
        <v>0.86</v>
      </c>
      <c r="K982" s="81"/>
    </row>
    <row r="983" spans="1:13" ht="30" customHeight="1" x14ac:dyDescent="0.25">
      <c r="A983" s="16" t="s">
        <v>306</v>
      </c>
      <c r="B983" s="20">
        <v>20083</v>
      </c>
      <c r="C983" s="77" t="str">
        <f>VLOOKUP(B983,IF(A983="COMPOSICAO",S!$A:$D,I!$A:$D),2,FALSE)</f>
        <v>SOLUCAO LIMPADORA PARA PVC, FRASCO COM 1000 CM3</v>
      </c>
      <c r="D983" s="77"/>
      <c r="E983" s="77"/>
      <c r="F983" s="77"/>
      <c r="G983" s="16" t="str">
        <f>VLOOKUP(B983,IF(A983="COMPOSICAO",S!$A:$D,I!$A:$D),3,FALSE)</f>
        <v>UN</v>
      </c>
      <c r="H983" s="30">
        <v>8.0000000000000002E-3</v>
      </c>
      <c r="I983" s="17">
        <f>IF(A983="COMPOSICAO",VLOOKUP("TOTAL - "&amp;B983,COMPOSICAO_AUX_2!$A:$J,10,FALSE),VLOOKUP(B983,I!$A:$D,4,FALSE))</f>
        <v>56.87</v>
      </c>
      <c r="J983" s="80">
        <f t="shared" si="48"/>
        <v>0.45</v>
      </c>
      <c r="K983" s="81"/>
    </row>
    <row r="984" spans="1:13" ht="15" customHeight="1" x14ac:dyDescent="0.25">
      <c r="A984" s="16" t="s">
        <v>306</v>
      </c>
      <c r="B984" s="20">
        <v>38383</v>
      </c>
      <c r="C984" s="77" t="str">
        <f>VLOOKUP(B984,IF(A984="COMPOSICAO",S!$A:$D,I!$A:$D),2,FALSE)</f>
        <v>LIXA D'AGUA EM FOLHA, GRAO 100</v>
      </c>
      <c r="D984" s="77"/>
      <c r="E984" s="77"/>
      <c r="F984" s="77"/>
      <c r="G984" s="16" t="str">
        <f>VLOOKUP(B984,IF(A984="COMPOSICAO",S!$A:$D,I!$A:$D),3,FALSE)</f>
        <v>UN</v>
      </c>
      <c r="H984" s="30">
        <v>1.2999999999999999E-2</v>
      </c>
      <c r="I984" s="17">
        <f>IF(A984="COMPOSICAO",VLOOKUP("TOTAL - "&amp;B984,COMPOSICAO_AUX_2!$A:$J,10,FALSE),VLOOKUP(B984,I!$A:$D,4,FALSE))</f>
        <v>2.06</v>
      </c>
      <c r="J984" s="80">
        <f t="shared" si="48"/>
        <v>0.02</v>
      </c>
      <c r="K984" s="81"/>
    </row>
    <row r="985" spans="1:13" ht="30" customHeight="1" x14ac:dyDescent="0.25">
      <c r="A985" s="16" t="s">
        <v>302</v>
      </c>
      <c r="B985" s="20">
        <v>88248</v>
      </c>
      <c r="C985" s="77" t="str">
        <f>VLOOKUP(B985,IF(A985="COMPOSICAO",S!$A:$D,I!$A:$D),2,FALSE)</f>
        <v>AUXILIAR DE ENCANADOR OU BOMBEIRO HIDRÁULICO COM ENCARGOS COMPLEMENTARES</v>
      </c>
      <c r="D985" s="77"/>
      <c r="E985" s="77"/>
      <c r="F985" s="77"/>
      <c r="G985" s="16" t="str">
        <f>VLOOKUP(B985,IF(A985="COMPOSICAO",S!$A:$D,I!$A:$D),3,FALSE)</f>
        <v>H</v>
      </c>
      <c r="H985" s="17">
        <v>0.04</v>
      </c>
      <c r="I985" s="17">
        <f>IF(A985="COMPOSICAO",VLOOKUP("TOTAL - "&amp;B985,COMPOSICAO_AUX_2!$A:$J,10,FALSE),VLOOKUP(B985,I!$A:$D,4,FALSE))</f>
        <v>14.96</v>
      </c>
      <c r="J985" s="80">
        <f t="shared" si="48"/>
        <v>0.59</v>
      </c>
      <c r="K985" s="81"/>
    </row>
    <row r="986" spans="1:13" ht="30" customHeight="1" x14ac:dyDescent="0.25">
      <c r="A986" s="16" t="s">
        <v>302</v>
      </c>
      <c r="B986" s="20">
        <v>88267</v>
      </c>
      <c r="C986" s="77" t="str">
        <f>VLOOKUP(B986,IF(A986="COMPOSICAO",S!$A:$D,I!$A:$D),2,FALSE)</f>
        <v>ENCANADOR OU BOMBEIRO HIDRÁULICO COM ENCARGOS COMPLEMENTARES</v>
      </c>
      <c r="D986" s="77"/>
      <c r="E986" s="77"/>
      <c r="F986" s="77"/>
      <c r="G986" s="16" t="str">
        <f>VLOOKUP(B986,IF(A986="COMPOSICAO",S!$A:$D,I!$A:$D),3,FALSE)</f>
        <v>H</v>
      </c>
      <c r="H986" s="17">
        <v>0.04</v>
      </c>
      <c r="I986" s="17">
        <f>IF(A986="COMPOSICAO",VLOOKUP("TOTAL - "&amp;B986,COMPOSICAO_AUX_2!$A:$J,10,FALSE),VLOOKUP(B986,I!$A:$D,4,FALSE))</f>
        <v>19.37</v>
      </c>
      <c r="J986" s="80">
        <f t="shared" si="48"/>
        <v>0.77</v>
      </c>
      <c r="K986" s="81"/>
    </row>
    <row r="987" spans="1:13" ht="15" customHeight="1" x14ac:dyDescent="0.25">
      <c r="A987" s="23" t="s">
        <v>655</v>
      </c>
      <c r="B987" s="24"/>
      <c r="C987" s="24"/>
      <c r="D987" s="24"/>
      <c r="E987" s="24"/>
      <c r="F987" s="24"/>
      <c r="G987" s="25"/>
      <c r="H987" s="26"/>
      <c r="I987" s="27"/>
      <c r="J987" s="80">
        <f>SUM(J980:K986)</f>
        <v>3.14</v>
      </c>
      <c r="K987" s="81"/>
    </row>
    <row r="988" spans="1:13" ht="15" customHeight="1" x14ac:dyDescent="0.25">
      <c r="A988" s="3"/>
      <c r="B988" s="3"/>
      <c r="C988" s="3"/>
      <c r="D988" s="3"/>
      <c r="E988" s="3"/>
      <c r="F988" s="3"/>
      <c r="G988" s="3"/>
      <c r="H988" s="3"/>
      <c r="I988" s="3"/>
      <c r="J988" s="3"/>
      <c r="K988" s="3"/>
    </row>
    <row r="989" spans="1:13" ht="15" customHeight="1" x14ac:dyDescent="0.25">
      <c r="A989" s="10" t="s">
        <v>295</v>
      </c>
      <c r="B989" s="10" t="s">
        <v>31</v>
      </c>
      <c r="C989" s="82" t="s">
        <v>7</v>
      </c>
      <c r="D989" s="83"/>
      <c r="E989" s="83"/>
      <c r="F989" s="83"/>
      <c r="G989" s="6" t="s">
        <v>32</v>
      </c>
      <c r="H989" s="6" t="s">
        <v>296</v>
      </c>
      <c r="I989" s="6" t="s">
        <v>297</v>
      </c>
      <c r="J989" s="57" t="s">
        <v>9</v>
      </c>
      <c r="K989" s="58"/>
    </row>
    <row r="990" spans="1:13" ht="45" customHeight="1" x14ac:dyDescent="0.25">
      <c r="A990" s="6" t="s">
        <v>413</v>
      </c>
      <c r="B990" s="28">
        <v>89532</v>
      </c>
      <c r="C990" s="91" t="str">
        <f>VLOOKUP(B990,S!$A:$D,2,FALSE)</f>
        <v>LUVA DE REDUÇÃO, PVC, SOLDÁVEL, DN 32MM X 25MM, INSTALADO EM PRUMADA DE ÁGUA - FORNECIMENTO E INSTALAÇÃO. AF_12/2014</v>
      </c>
      <c r="D990" s="91"/>
      <c r="E990" s="91"/>
      <c r="F990" s="92"/>
      <c r="G990" s="6" t="str">
        <f>VLOOKUP(B990,S!$A:$D,3,FALSE)</f>
        <v>UN</v>
      </c>
      <c r="H990" s="21"/>
      <c r="I990" s="21">
        <f>J997</f>
        <v>6.34</v>
      </c>
      <c r="J990" s="76"/>
      <c r="K990" s="72"/>
      <c r="L990" s="21">
        <f>VLOOKUP(B990,S!$A:$D,4,FALSE)</f>
        <v>6.34</v>
      </c>
      <c r="M990" s="6" t="str">
        <f>IF(ROUND((L990-I990),2)=0,"OK, confere com a tabela.",IF(ROUND((L990-I990),2)&lt;0,"ACIMA ("&amp;TEXT(ROUND(I990*100/L990,4),"0,0000")&amp;" %) da tabela.","ABAIXO ("&amp;TEXT(ROUND(I990*100/L990,4),"0,0000")&amp;" %) da tabela."))</f>
        <v>OK, confere com a tabela.</v>
      </c>
    </row>
    <row r="991" spans="1:13" ht="15" customHeight="1" x14ac:dyDescent="0.25">
      <c r="A991" s="16" t="s">
        <v>306</v>
      </c>
      <c r="B991" s="20">
        <v>122</v>
      </c>
      <c r="C991" s="77" t="str">
        <f>VLOOKUP(B991,IF(A991="COMPOSICAO",S!$A:$D,I!$A:$D),2,FALSE)</f>
        <v>ADESIVO PLASTICO PARA PVC, FRASCO COM 850 GR</v>
      </c>
      <c r="D991" s="77"/>
      <c r="E991" s="77"/>
      <c r="F991" s="77"/>
      <c r="G991" s="16" t="str">
        <f>VLOOKUP(B991,IF(A991="COMPOSICAO",S!$A:$D,I!$A:$D),3,FALSE)</f>
        <v>UN</v>
      </c>
      <c r="H991" s="30">
        <v>7.0000000000000001E-3</v>
      </c>
      <c r="I991" s="17">
        <f>IF(A991="COMPOSICAO",VLOOKUP("TOTAL - "&amp;B991,COMPOSICAO_AUX_2!$A:$J,10,FALSE),VLOOKUP(B991,I!$A:$D,4,FALSE))</f>
        <v>65.489999999999995</v>
      </c>
      <c r="J991" s="80">
        <f t="shared" ref="J991:J996" si="49">TRUNC(H991*I991,2)</f>
        <v>0.45</v>
      </c>
      <c r="K991" s="81"/>
    </row>
    <row r="992" spans="1:13" ht="30" customHeight="1" x14ac:dyDescent="0.25">
      <c r="A992" s="16" t="s">
        <v>306</v>
      </c>
      <c r="B992" s="20">
        <v>3869</v>
      </c>
      <c r="C992" s="77" t="str">
        <f>VLOOKUP(B992,IF(A992="COMPOSICAO",S!$A:$D,I!$A:$D),2,FALSE)</f>
        <v>LUVA DE REDUCAO SOLDAVEL, PVC, 32 MM X 25 MM, PARA AGUA FRIA PREDIAL</v>
      </c>
      <c r="D992" s="77"/>
      <c r="E992" s="77"/>
      <c r="F992" s="77"/>
      <c r="G992" s="16" t="str">
        <f>VLOOKUP(B992,IF(A992="COMPOSICAO",S!$A:$D,I!$A:$D),3,FALSE)</f>
        <v>UN</v>
      </c>
      <c r="H992" s="17">
        <v>1</v>
      </c>
      <c r="I992" s="17">
        <f>IF(A992="COMPOSICAO",VLOOKUP("TOTAL - "&amp;B992,COMPOSICAO_AUX_2!$A:$J,10,FALSE),VLOOKUP(B992,I!$A:$D,4,FALSE))</f>
        <v>4.0599999999999996</v>
      </c>
      <c r="J992" s="80">
        <f t="shared" si="49"/>
        <v>4.0599999999999996</v>
      </c>
      <c r="K992" s="81"/>
    </row>
    <row r="993" spans="1:13" ht="30" customHeight="1" x14ac:dyDescent="0.25">
      <c r="A993" s="16" t="s">
        <v>306</v>
      </c>
      <c r="B993" s="20">
        <v>20083</v>
      </c>
      <c r="C993" s="77" t="str">
        <f>VLOOKUP(B993,IF(A993="COMPOSICAO",S!$A:$D,I!$A:$D),2,FALSE)</f>
        <v>SOLUCAO LIMPADORA PARA PVC, FRASCO COM 1000 CM3</v>
      </c>
      <c r="D993" s="77"/>
      <c r="E993" s="77"/>
      <c r="F993" s="77"/>
      <c r="G993" s="16" t="str">
        <f>VLOOKUP(B993,IF(A993="COMPOSICAO",S!$A:$D,I!$A:$D),3,FALSE)</f>
        <v>UN</v>
      </c>
      <c r="H993" s="30">
        <v>8.0000000000000002E-3</v>
      </c>
      <c r="I993" s="17">
        <f>IF(A993="COMPOSICAO",VLOOKUP("TOTAL - "&amp;B993,COMPOSICAO_AUX_2!$A:$J,10,FALSE),VLOOKUP(B993,I!$A:$D,4,FALSE))</f>
        <v>56.87</v>
      </c>
      <c r="J993" s="80">
        <f t="shared" si="49"/>
        <v>0.45</v>
      </c>
      <c r="K993" s="81"/>
    </row>
    <row r="994" spans="1:13" ht="15" customHeight="1" x14ac:dyDescent="0.25">
      <c r="A994" s="16" t="s">
        <v>306</v>
      </c>
      <c r="B994" s="20">
        <v>38383</v>
      </c>
      <c r="C994" s="77" t="str">
        <f>VLOOKUP(B994,IF(A994="COMPOSICAO",S!$A:$D,I!$A:$D),2,FALSE)</f>
        <v>LIXA D'AGUA EM FOLHA, GRAO 100</v>
      </c>
      <c r="D994" s="77"/>
      <c r="E994" s="77"/>
      <c r="F994" s="77"/>
      <c r="G994" s="16" t="str">
        <f>VLOOKUP(B994,IF(A994="COMPOSICAO",S!$A:$D,I!$A:$D),3,FALSE)</f>
        <v>UN</v>
      </c>
      <c r="H994" s="30">
        <v>1.2999999999999999E-2</v>
      </c>
      <c r="I994" s="17">
        <f>IF(A994="COMPOSICAO",VLOOKUP("TOTAL - "&amp;B994,COMPOSICAO_AUX_2!$A:$J,10,FALSE),VLOOKUP(B994,I!$A:$D,4,FALSE))</f>
        <v>2.06</v>
      </c>
      <c r="J994" s="80">
        <f t="shared" si="49"/>
        <v>0.02</v>
      </c>
      <c r="K994" s="81"/>
    </row>
    <row r="995" spans="1:13" ht="30" customHeight="1" x14ac:dyDescent="0.25">
      <c r="A995" s="16" t="s">
        <v>302</v>
      </c>
      <c r="B995" s="20">
        <v>88248</v>
      </c>
      <c r="C995" s="77" t="str">
        <f>VLOOKUP(B995,IF(A995="COMPOSICAO",S!$A:$D,I!$A:$D),2,FALSE)</f>
        <v>AUXILIAR DE ENCANADOR OU BOMBEIRO HIDRÁULICO COM ENCARGOS COMPLEMENTARES</v>
      </c>
      <c r="D995" s="77"/>
      <c r="E995" s="77"/>
      <c r="F995" s="77"/>
      <c r="G995" s="16" t="str">
        <f>VLOOKUP(B995,IF(A995="COMPOSICAO",S!$A:$D,I!$A:$D),3,FALSE)</f>
        <v>H</v>
      </c>
      <c r="H995" s="17">
        <v>0.04</v>
      </c>
      <c r="I995" s="17">
        <f>IF(A995="COMPOSICAO",VLOOKUP("TOTAL - "&amp;B995,COMPOSICAO_AUX_2!$A:$J,10,FALSE),VLOOKUP(B995,I!$A:$D,4,FALSE))</f>
        <v>14.96</v>
      </c>
      <c r="J995" s="80">
        <f t="shared" si="49"/>
        <v>0.59</v>
      </c>
      <c r="K995" s="81"/>
    </row>
    <row r="996" spans="1:13" ht="30" customHeight="1" x14ac:dyDescent="0.25">
      <c r="A996" s="16" t="s">
        <v>302</v>
      </c>
      <c r="B996" s="20">
        <v>88267</v>
      </c>
      <c r="C996" s="77" t="str">
        <f>VLOOKUP(B996,IF(A996="COMPOSICAO",S!$A:$D,I!$A:$D),2,FALSE)</f>
        <v>ENCANADOR OU BOMBEIRO HIDRÁULICO COM ENCARGOS COMPLEMENTARES</v>
      </c>
      <c r="D996" s="77"/>
      <c r="E996" s="77"/>
      <c r="F996" s="77"/>
      <c r="G996" s="16" t="str">
        <f>VLOOKUP(B996,IF(A996="COMPOSICAO",S!$A:$D,I!$A:$D),3,FALSE)</f>
        <v>H</v>
      </c>
      <c r="H996" s="17">
        <v>0.04</v>
      </c>
      <c r="I996" s="17">
        <f>IF(A996="COMPOSICAO",VLOOKUP("TOTAL - "&amp;B996,COMPOSICAO_AUX_2!$A:$J,10,FALSE),VLOOKUP(B996,I!$A:$D,4,FALSE))</f>
        <v>19.37</v>
      </c>
      <c r="J996" s="80">
        <f t="shared" si="49"/>
        <v>0.77</v>
      </c>
      <c r="K996" s="81"/>
    </row>
    <row r="997" spans="1:13" ht="15" customHeight="1" x14ac:dyDescent="0.25">
      <c r="A997" s="23" t="s">
        <v>656</v>
      </c>
      <c r="B997" s="24"/>
      <c r="C997" s="24"/>
      <c r="D997" s="24"/>
      <c r="E997" s="24"/>
      <c r="F997" s="24"/>
      <c r="G997" s="25"/>
      <c r="H997" s="26"/>
      <c r="I997" s="27"/>
      <c r="J997" s="80">
        <f>SUM(J990:K996)</f>
        <v>6.34</v>
      </c>
      <c r="K997" s="81"/>
    </row>
    <row r="998" spans="1:13" ht="15" customHeight="1" x14ac:dyDescent="0.25">
      <c r="A998" s="3"/>
      <c r="B998" s="3"/>
      <c r="C998" s="3"/>
      <c r="D998" s="3"/>
      <c r="E998" s="3"/>
      <c r="F998" s="3"/>
      <c r="G998" s="3"/>
      <c r="H998" s="3"/>
      <c r="I998" s="3"/>
      <c r="J998" s="3"/>
      <c r="K998" s="3"/>
    </row>
    <row r="999" spans="1:13" ht="15" customHeight="1" x14ac:dyDescent="0.25">
      <c r="A999" s="10" t="s">
        <v>295</v>
      </c>
      <c r="B999" s="10" t="s">
        <v>31</v>
      </c>
      <c r="C999" s="82" t="s">
        <v>7</v>
      </c>
      <c r="D999" s="83"/>
      <c r="E999" s="83"/>
      <c r="F999" s="83"/>
      <c r="G999" s="6" t="s">
        <v>32</v>
      </c>
      <c r="H999" s="6" t="s">
        <v>296</v>
      </c>
      <c r="I999" s="6" t="s">
        <v>297</v>
      </c>
      <c r="J999" s="57" t="s">
        <v>9</v>
      </c>
      <c r="K999" s="58"/>
    </row>
    <row r="1000" spans="1:13" ht="45" customHeight="1" x14ac:dyDescent="0.25">
      <c r="A1000" s="6" t="s">
        <v>413</v>
      </c>
      <c r="B1000" s="28">
        <v>89622</v>
      </c>
      <c r="C1000" s="91" t="str">
        <f>VLOOKUP(B1000,S!$A:$D,2,FALSE)</f>
        <v>TÊ DE REDUÇÃO, PVC, SOLDÁVEL, DN 32MM X 25MM, INSTALADO EM PRUMADA DE ÁGUA - FORNECIMENTO E INSTALAÇÃO. AF_12/2014</v>
      </c>
      <c r="D1000" s="91"/>
      <c r="E1000" s="91"/>
      <c r="F1000" s="92"/>
      <c r="G1000" s="6" t="str">
        <f>VLOOKUP(B1000,S!$A:$D,3,FALSE)</f>
        <v>UN</v>
      </c>
      <c r="H1000" s="21"/>
      <c r="I1000" s="21">
        <f>J1007</f>
        <v>12.040000000000003</v>
      </c>
      <c r="J1000" s="76"/>
      <c r="K1000" s="72"/>
      <c r="L1000" s="21">
        <f>VLOOKUP(B1000,S!$A:$D,4,FALSE)</f>
        <v>12.04</v>
      </c>
      <c r="M1000" s="6" t="str">
        <f>IF(ROUND((L1000-I1000),2)=0,"OK, confere com a tabela.",IF(ROUND((L1000-I1000),2)&lt;0,"ACIMA ("&amp;TEXT(ROUND(I1000*100/L1000,4),"0,0000")&amp;" %) da tabela.","ABAIXO ("&amp;TEXT(ROUND(I1000*100/L1000,4),"0,0000")&amp;" %) da tabela."))</f>
        <v>OK, confere com a tabela.</v>
      </c>
    </row>
    <row r="1001" spans="1:13" ht="15" customHeight="1" x14ac:dyDescent="0.25">
      <c r="A1001" s="16" t="s">
        <v>306</v>
      </c>
      <c r="B1001" s="20">
        <v>122</v>
      </c>
      <c r="C1001" s="77" t="str">
        <f>VLOOKUP(B1001,IF(A1001="COMPOSICAO",S!$A:$D,I!$A:$D),2,FALSE)</f>
        <v>ADESIVO PLASTICO PARA PVC, FRASCO COM 850 GR</v>
      </c>
      <c r="D1001" s="77"/>
      <c r="E1001" s="77"/>
      <c r="F1001" s="77"/>
      <c r="G1001" s="16" t="str">
        <f>VLOOKUP(B1001,IF(A1001="COMPOSICAO",S!$A:$D,I!$A:$D),3,FALSE)</f>
        <v>UN</v>
      </c>
      <c r="H1001" s="30">
        <v>1.4E-2</v>
      </c>
      <c r="I1001" s="17">
        <f>IF(A1001="COMPOSICAO",VLOOKUP("TOTAL - "&amp;B1001,COMPOSICAO_AUX_2!$A:$J,10,FALSE),VLOOKUP(B1001,I!$A:$D,4,FALSE))</f>
        <v>65.489999999999995</v>
      </c>
      <c r="J1001" s="80">
        <f t="shared" ref="J1001:J1006" si="50">TRUNC(H1001*I1001,2)</f>
        <v>0.91</v>
      </c>
      <c r="K1001" s="81"/>
    </row>
    <row r="1002" spans="1:13" ht="30" customHeight="1" x14ac:dyDescent="0.25">
      <c r="A1002" s="16" t="s">
        <v>306</v>
      </c>
      <c r="B1002" s="20">
        <v>7136</v>
      </c>
      <c r="C1002" s="77" t="str">
        <f>VLOOKUP(B1002,IF(A1002="COMPOSICAO",S!$A:$D,I!$A:$D),2,FALSE)</f>
        <v>TE DE REDUCAO, PVC, SOLDAVEL, 90 GRAUS, 32 MM X 25 MM, PARA AGUA FRIA PREDIAL</v>
      </c>
      <c r="D1002" s="77"/>
      <c r="E1002" s="77"/>
      <c r="F1002" s="77"/>
      <c r="G1002" s="16" t="str">
        <f>VLOOKUP(B1002,IF(A1002="COMPOSICAO",S!$A:$D,I!$A:$D),3,FALSE)</f>
        <v>UN</v>
      </c>
      <c r="H1002" s="17">
        <v>1</v>
      </c>
      <c r="I1002" s="17">
        <f>IF(A1002="COMPOSICAO",VLOOKUP("TOTAL - "&amp;B1002,COMPOSICAO_AUX_2!$A:$J,10,FALSE),VLOOKUP(B1002,I!$A:$D,4,FALSE))</f>
        <v>6.77</v>
      </c>
      <c r="J1002" s="80">
        <f t="shared" si="50"/>
        <v>6.77</v>
      </c>
      <c r="K1002" s="81"/>
    </row>
    <row r="1003" spans="1:13" ht="30" customHeight="1" x14ac:dyDescent="0.25">
      <c r="A1003" s="16" t="s">
        <v>306</v>
      </c>
      <c r="B1003" s="20">
        <v>20083</v>
      </c>
      <c r="C1003" s="77" t="str">
        <f>VLOOKUP(B1003,IF(A1003="COMPOSICAO",S!$A:$D,I!$A:$D),2,FALSE)</f>
        <v>SOLUCAO LIMPADORA PARA PVC, FRASCO COM 1000 CM3</v>
      </c>
      <c r="D1003" s="77"/>
      <c r="E1003" s="77"/>
      <c r="F1003" s="77"/>
      <c r="G1003" s="16" t="str">
        <f>VLOOKUP(B1003,IF(A1003="COMPOSICAO",S!$A:$D,I!$A:$D),3,FALSE)</f>
        <v>UN</v>
      </c>
      <c r="H1003" s="30">
        <v>1.7000000000000001E-2</v>
      </c>
      <c r="I1003" s="17">
        <f>IF(A1003="COMPOSICAO",VLOOKUP("TOTAL - "&amp;B1003,COMPOSICAO_AUX_2!$A:$J,10,FALSE),VLOOKUP(B1003,I!$A:$D,4,FALSE))</f>
        <v>56.87</v>
      </c>
      <c r="J1003" s="80">
        <f t="shared" si="50"/>
        <v>0.96</v>
      </c>
      <c r="K1003" s="81"/>
    </row>
    <row r="1004" spans="1:13" ht="15" customHeight="1" x14ac:dyDescent="0.25">
      <c r="A1004" s="16" t="s">
        <v>306</v>
      </c>
      <c r="B1004" s="20">
        <v>38383</v>
      </c>
      <c r="C1004" s="77" t="str">
        <f>VLOOKUP(B1004,IF(A1004="COMPOSICAO",S!$A:$D,I!$A:$D),2,FALSE)</f>
        <v>LIXA D'AGUA EM FOLHA, GRAO 100</v>
      </c>
      <c r="D1004" s="77"/>
      <c r="E1004" s="77"/>
      <c r="F1004" s="77"/>
      <c r="G1004" s="16" t="str">
        <f>VLOOKUP(B1004,IF(A1004="COMPOSICAO",S!$A:$D,I!$A:$D),3,FALSE)</f>
        <v>UN</v>
      </c>
      <c r="H1004" s="30">
        <v>2.5000000000000001E-2</v>
      </c>
      <c r="I1004" s="17">
        <f>IF(A1004="COMPOSICAO",VLOOKUP("TOTAL - "&amp;B1004,COMPOSICAO_AUX_2!$A:$J,10,FALSE),VLOOKUP(B1004,I!$A:$D,4,FALSE))</f>
        <v>2.06</v>
      </c>
      <c r="J1004" s="80">
        <f t="shared" si="50"/>
        <v>0.05</v>
      </c>
      <c r="K1004" s="81"/>
    </row>
    <row r="1005" spans="1:13" ht="30" customHeight="1" x14ac:dyDescent="0.25">
      <c r="A1005" s="16" t="s">
        <v>302</v>
      </c>
      <c r="B1005" s="20">
        <v>88248</v>
      </c>
      <c r="C1005" s="77" t="str">
        <f>VLOOKUP(B1005,IF(A1005="COMPOSICAO",S!$A:$D,I!$A:$D),2,FALSE)</f>
        <v>AUXILIAR DE ENCANADOR OU BOMBEIRO HIDRÁULICO COM ENCARGOS COMPLEMENTARES</v>
      </c>
      <c r="D1005" s="77"/>
      <c r="E1005" s="77"/>
      <c r="F1005" s="77"/>
      <c r="G1005" s="16" t="str">
        <f>VLOOKUP(B1005,IF(A1005="COMPOSICAO",S!$A:$D,I!$A:$D),3,FALSE)</f>
        <v>H</v>
      </c>
      <c r="H1005" s="30">
        <v>9.8000000000000004E-2</v>
      </c>
      <c r="I1005" s="17">
        <f>IF(A1005="COMPOSICAO",VLOOKUP("TOTAL - "&amp;B1005,COMPOSICAO_AUX_2!$A:$J,10,FALSE),VLOOKUP(B1005,I!$A:$D,4,FALSE))</f>
        <v>14.96</v>
      </c>
      <c r="J1005" s="80">
        <f t="shared" si="50"/>
        <v>1.46</v>
      </c>
      <c r="K1005" s="81"/>
    </row>
    <row r="1006" spans="1:13" ht="30" customHeight="1" x14ac:dyDescent="0.25">
      <c r="A1006" s="16" t="s">
        <v>302</v>
      </c>
      <c r="B1006" s="20">
        <v>88267</v>
      </c>
      <c r="C1006" s="77" t="str">
        <f>VLOOKUP(B1006,IF(A1006="COMPOSICAO",S!$A:$D,I!$A:$D),2,FALSE)</f>
        <v>ENCANADOR OU BOMBEIRO HIDRÁULICO COM ENCARGOS COMPLEMENTARES</v>
      </c>
      <c r="D1006" s="77"/>
      <c r="E1006" s="77"/>
      <c r="F1006" s="77"/>
      <c r="G1006" s="16" t="str">
        <f>VLOOKUP(B1006,IF(A1006="COMPOSICAO",S!$A:$D,I!$A:$D),3,FALSE)</f>
        <v>H</v>
      </c>
      <c r="H1006" s="30">
        <v>9.8000000000000004E-2</v>
      </c>
      <c r="I1006" s="17">
        <f>IF(A1006="COMPOSICAO",VLOOKUP("TOTAL - "&amp;B1006,COMPOSICAO_AUX_2!$A:$J,10,FALSE),VLOOKUP(B1006,I!$A:$D,4,FALSE))</f>
        <v>19.37</v>
      </c>
      <c r="J1006" s="80">
        <f t="shared" si="50"/>
        <v>1.89</v>
      </c>
      <c r="K1006" s="81"/>
    </row>
    <row r="1007" spans="1:13" ht="15" customHeight="1" x14ac:dyDescent="0.25">
      <c r="A1007" s="23" t="s">
        <v>657</v>
      </c>
      <c r="B1007" s="24"/>
      <c r="C1007" s="24"/>
      <c r="D1007" s="24"/>
      <c r="E1007" s="24"/>
      <c r="F1007" s="24"/>
      <c r="G1007" s="25"/>
      <c r="H1007" s="26"/>
      <c r="I1007" s="27"/>
      <c r="J1007" s="80">
        <f>SUM(J1000:K1006)</f>
        <v>12.040000000000003</v>
      </c>
      <c r="K1007" s="81"/>
    </row>
    <row r="1008" spans="1:13" ht="15" customHeight="1" x14ac:dyDescent="0.25">
      <c r="A1008" s="3"/>
      <c r="B1008" s="3"/>
      <c r="C1008" s="3"/>
      <c r="D1008" s="3"/>
      <c r="E1008" s="3"/>
      <c r="F1008" s="3"/>
      <c r="G1008" s="3"/>
      <c r="H1008" s="3"/>
      <c r="I1008" s="3"/>
      <c r="J1008" s="3"/>
      <c r="K1008" s="3"/>
    </row>
    <row r="1009" spans="1:13" ht="15" customHeight="1" x14ac:dyDescent="0.25">
      <c r="A1009" s="10" t="s">
        <v>295</v>
      </c>
      <c r="B1009" s="10" t="s">
        <v>31</v>
      </c>
      <c r="C1009" s="82" t="s">
        <v>7</v>
      </c>
      <c r="D1009" s="83"/>
      <c r="E1009" s="83"/>
      <c r="F1009" s="83"/>
      <c r="G1009" s="6" t="s">
        <v>32</v>
      </c>
      <c r="H1009" s="6" t="s">
        <v>296</v>
      </c>
      <c r="I1009" s="6" t="s">
        <v>297</v>
      </c>
      <c r="J1009" s="57" t="s">
        <v>9</v>
      </c>
      <c r="K1009" s="58"/>
    </row>
    <row r="1010" spans="1:13" ht="45" customHeight="1" x14ac:dyDescent="0.25">
      <c r="A1010" s="6" t="s">
        <v>413</v>
      </c>
      <c r="B1010" s="28">
        <v>89627</v>
      </c>
      <c r="C1010" s="91" t="str">
        <f>VLOOKUP(B1010,S!$A:$D,2,FALSE)</f>
        <v>TÊ DE REDUÇÃO, PVC, SOLDÁVEL, DN 50MM X 25MM, INSTALADO EM PRUMADA DE ÁGUA - FORNECIMENTO E INSTALAÇÃO. AF_12/2014</v>
      </c>
      <c r="D1010" s="91"/>
      <c r="E1010" s="91"/>
      <c r="F1010" s="92"/>
      <c r="G1010" s="6" t="str">
        <f>VLOOKUP(B1010,S!$A:$D,3,FALSE)</f>
        <v>UN</v>
      </c>
      <c r="H1010" s="21"/>
      <c r="I1010" s="21">
        <f>J1017</f>
        <v>18.439999999999998</v>
      </c>
      <c r="J1010" s="76"/>
      <c r="K1010" s="72"/>
      <c r="L1010" s="21">
        <f>VLOOKUP(B1010,S!$A:$D,4,FALSE)</f>
        <v>18.440000000000001</v>
      </c>
      <c r="M1010" s="6" t="str">
        <f>IF(ROUND((L1010-I1010),2)=0,"OK, confere com a tabela.",IF(ROUND((L1010-I1010),2)&lt;0,"ACIMA ("&amp;TEXT(ROUND(I1010*100/L1010,4),"0,0000")&amp;" %) da tabela.","ABAIXO ("&amp;TEXT(ROUND(I1010*100/L1010,4),"0,0000")&amp;" %) da tabela."))</f>
        <v>OK, confere com a tabela.</v>
      </c>
    </row>
    <row r="1011" spans="1:13" ht="15" customHeight="1" x14ac:dyDescent="0.25">
      <c r="A1011" s="16" t="s">
        <v>306</v>
      </c>
      <c r="B1011" s="20">
        <v>122</v>
      </c>
      <c r="C1011" s="77" t="str">
        <f>VLOOKUP(B1011,IF(A1011="COMPOSICAO",S!$A:$D,I!$A:$D),2,FALSE)</f>
        <v>ADESIVO PLASTICO PARA PVC, FRASCO COM 850 GR</v>
      </c>
      <c r="D1011" s="77"/>
      <c r="E1011" s="77"/>
      <c r="F1011" s="77"/>
      <c r="G1011" s="16" t="str">
        <f>VLOOKUP(B1011,IF(A1011="COMPOSICAO",S!$A:$D,I!$A:$D),3,FALSE)</f>
        <v>UN</v>
      </c>
      <c r="H1011" s="30">
        <v>2.5999999999999999E-2</v>
      </c>
      <c r="I1011" s="17">
        <f>IF(A1011="COMPOSICAO",VLOOKUP("TOTAL - "&amp;B1011,COMPOSICAO_AUX_2!$A:$J,10,FALSE),VLOOKUP(B1011,I!$A:$D,4,FALSE))</f>
        <v>65.489999999999995</v>
      </c>
      <c r="J1011" s="80">
        <f t="shared" ref="J1011:J1016" si="51">TRUNC(H1011*I1011,2)</f>
        <v>1.7</v>
      </c>
      <c r="K1011" s="81"/>
    </row>
    <row r="1012" spans="1:13" ht="30" customHeight="1" x14ac:dyDescent="0.25">
      <c r="A1012" s="16" t="s">
        <v>306</v>
      </c>
      <c r="B1012" s="20">
        <v>7129</v>
      </c>
      <c r="C1012" s="77" t="str">
        <f>VLOOKUP(B1012,IF(A1012="COMPOSICAO",S!$A:$D,I!$A:$D),2,FALSE)</f>
        <v>TE DE REDUCAO, PVC, SOLDAVEL, 90 GRAUS, 50 MM X 25 MM, PARA AGUA FRIA PREDIAL</v>
      </c>
      <c r="D1012" s="77"/>
      <c r="E1012" s="77"/>
      <c r="F1012" s="77"/>
      <c r="G1012" s="16" t="str">
        <f>VLOOKUP(B1012,IF(A1012="COMPOSICAO",S!$A:$D,I!$A:$D),3,FALSE)</f>
        <v>UN</v>
      </c>
      <c r="H1012" s="17">
        <v>1</v>
      </c>
      <c r="I1012" s="17">
        <f>IF(A1012="COMPOSICAO",VLOOKUP("TOTAL - "&amp;B1012,COMPOSICAO_AUX_2!$A:$J,10,FALSE),VLOOKUP(B1012,I!$A:$D,4,FALSE))</f>
        <v>9.8699999999999992</v>
      </c>
      <c r="J1012" s="80">
        <f t="shared" si="51"/>
        <v>9.8699999999999992</v>
      </c>
      <c r="K1012" s="81"/>
    </row>
    <row r="1013" spans="1:13" ht="30" customHeight="1" x14ac:dyDescent="0.25">
      <c r="A1013" s="16" t="s">
        <v>306</v>
      </c>
      <c r="B1013" s="20">
        <v>20083</v>
      </c>
      <c r="C1013" s="77" t="str">
        <f>VLOOKUP(B1013,IF(A1013="COMPOSICAO",S!$A:$D,I!$A:$D),2,FALSE)</f>
        <v>SOLUCAO LIMPADORA PARA PVC, FRASCO COM 1000 CM3</v>
      </c>
      <c r="D1013" s="77"/>
      <c r="E1013" s="77"/>
      <c r="F1013" s="77"/>
      <c r="G1013" s="16" t="str">
        <f>VLOOKUP(B1013,IF(A1013="COMPOSICAO",S!$A:$D,I!$A:$D),3,FALSE)</f>
        <v>UN</v>
      </c>
      <c r="H1013" s="30">
        <v>3.3000000000000002E-2</v>
      </c>
      <c r="I1013" s="17">
        <f>IF(A1013="COMPOSICAO",VLOOKUP("TOTAL - "&amp;B1013,COMPOSICAO_AUX_2!$A:$J,10,FALSE),VLOOKUP(B1013,I!$A:$D,4,FALSE))</f>
        <v>56.87</v>
      </c>
      <c r="J1013" s="80">
        <f t="shared" si="51"/>
        <v>1.87</v>
      </c>
      <c r="K1013" s="81"/>
    </row>
    <row r="1014" spans="1:13" ht="15" customHeight="1" x14ac:dyDescent="0.25">
      <c r="A1014" s="16" t="s">
        <v>306</v>
      </c>
      <c r="B1014" s="20">
        <v>38383</v>
      </c>
      <c r="C1014" s="77" t="str">
        <f>VLOOKUP(B1014,IF(A1014="COMPOSICAO",S!$A:$D,I!$A:$D),2,FALSE)</f>
        <v>LIXA D'AGUA EM FOLHA, GRAO 100</v>
      </c>
      <c r="D1014" s="77"/>
      <c r="E1014" s="77"/>
      <c r="F1014" s="77"/>
      <c r="G1014" s="16" t="str">
        <f>VLOOKUP(B1014,IF(A1014="COMPOSICAO",S!$A:$D,I!$A:$D),3,FALSE)</f>
        <v>UN</v>
      </c>
      <c r="H1014" s="30">
        <v>3.5999999999999997E-2</v>
      </c>
      <c r="I1014" s="17">
        <f>IF(A1014="COMPOSICAO",VLOOKUP("TOTAL - "&amp;B1014,COMPOSICAO_AUX_2!$A:$J,10,FALSE),VLOOKUP(B1014,I!$A:$D,4,FALSE))</f>
        <v>2.06</v>
      </c>
      <c r="J1014" s="80">
        <f t="shared" si="51"/>
        <v>7.0000000000000007E-2</v>
      </c>
      <c r="K1014" s="81"/>
    </row>
    <row r="1015" spans="1:13" ht="30" customHeight="1" x14ac:dyDescent="0.25">
      <c r="A1015" s="16" t="s">
        <v>302</v>
      </c>
      <c r="B1015" s="20">
        <v>88248</v>
      </c>
      <c r="C1015" s="77" t="str">
        <f>VLOOKUP(B1015,IF(A1015="COMPOSICAO",S!$A:$D,I!$A:$D),2,FALSE)</f>
        <v>AUXILIAR DE ENCANADOR OU BOMBEIRO HIDRÁULICO COM ENCARGOS COMPLEMENTARES</v>
      </c>
      <c r="D1015" s="77"/>
      <c r="E1015" s="77"/>
      <c r="F1015" s="77"/>
      <c r="G1015" s="16" t="str">
        <f>VLOOKUP(B1015,IF(A1015="COMPOSICAO",S!$A:$D,I!$A:$D),3,FALSE)</f>
        <v>H</v>
      </c>
      <c r="H1015" s="30">
        <v>0.14399999999999999</v>
      </c>
      <c r="I1015" s="17">
        <f>IF(A1015="COMPOSICAO",VLOOKUP("TOTAL - "&amp;B1015,COMPOSICAO_AUX_2!$A:$J,10,FALSE),VLOOKUP(B1015,I!$A:$D,4,FALSE))</f>
        <v>14.96</v>
      </c>
      <c r="J1015" s="80">
        <f t="shared" si="51"/>
        <v>2.15</v>
      </c>
      <c r="K1015" s="81"/>
    </row>
    <row r="1016" spans="1:13" ht="30" customHeight="1" x14ac:dyDescent="0.25">
      <c r="A1016" s="16" t="s">
        <v>302</v>
      </c>
      <c r="B1016" s="20">
        <v>88267</v>
      </c>
      <c r="C1016" s="77" t="str">
        <f>VLOOKUP(B1016,IF(A1016="COMPOSICAO",S!$A:$D,I!$A:$D),2,FALSE)</f>
        <v>ENCANADOR OU BOMBEIRO HIDRÁULICO COM ENCARGOS COMPLEMENTARES</v>
      </c>
      <c r="D1016" s="77"/>
      <c r="E1016" s="77"/>
      <c r="F1016" s="77"/>
      <c r="G1016" s="16" t="str">
        <f>VLOOKUP(B1016,IF(A1016="COMPOSICAO",S!$A:$D,I!$A:$D),3,FALSE)</f>
        <v>H</v>
      </c>
      <c r="H1016" s="30">
        <v>0.14399999999999999</v>
      </c>
      <c r="I1016" s="17">
        <f>IF(A1016="COMPOSICAO",VLOOKUP("TOTAL - "&amp;B1016,COMPOSICAO_AUX_2!$A:$J,10,FALSE),VLOOKUP(B1016,I!$A:$D,4,FALSE))</f>
        <v>19.37</v>
      </c>
      <c r="J1016" s="80">
        <f t="shared" si="51"/>
        <v>2.78</v>
      </c>
      <c r="K1016" s="81"/>
    </row>
    <row r="1017" spans="1:13" ht="15" customHeight="1" x14ac:dyDescent="0.25">
      <c r="A1017" s="23" t="s">
        <v>658</v>
      </c>
      <c r="B1017" s="24"/>
      <c r="C1017" s="24"/>
      <c r="D1017" s="24"/>
      <c r="E1017" s="24"/>
      <c r="F1017" s="24"/>
      <c r="G1017" s="25"/>
      <c r="H1017" s="26"/>
      <c r="I1017" s="27"/>
      <c r="J1017" s="80">
        <f>SUM(J1010:K1016)</f>
        <v>18.439999999999998</v>
      </c>
      <c r="K1017" s="81"/>
    </row>
    <row r="1018" spans="1:13" ht="15" customHeight="1" x14ac:dyDescent="0.25">
      <c r="A1018" s="3"/>
      <c r="B1018" s="3"/>
      <c r="C1018" s="3"/>
      <c r="D1018" s="3"/>
      <c r="E1018" s="3"/>
      <c r="F1018" s="3"/>
      <c r="G1018" s="3"/>
      <c r="H1018" s="3"/>
      <c r="I1018" s="3"/>
      <c r="J1018" s="3"/>
      <c r="K1018" s="3"/>
    </row>
    <row r="1019" spans="1:13" ht="15" customHeight="1" x14ac:dyDescent="0.25">
      <c r="A1019" s="10" t="s">
        <v>295</v>
      </c>
      <c r="B1019" s="10" t="s">
        <v>31</v>
      </c>
      <c r="C1019" s="82" t="s">
        <v>7</v>
      </c>
      <c r="D1019" s="83"/>
      <c r="E1019" s="83"/>
      <c r="F1019" s="83"/>
      <c r="G1019" s="6" t="s">
        <v>32</v>
      </c>
      <c r="H1019" s="6" t="s">
        <v>296</v>
      </c>
      <c r="I1019" s="6" t="s">
        <v>297</v>
      </c>
      <c r="J1019" s="57" t="s">
        <v>9</v>
      </c>
      <c r="K1019" s="58"/>
    </row>
    <row r="1020" spans="1:13" ht="30" customHeight="1" x14ac:dyDescent="0.25">
      <c r="A1020" s="6" t="s">
        <v>413</v>
      </c>
      <c r="B1020" s="28">
        <v>90436</v>
      </c>
      <c r="C1020" s="91" t="str">
        <f>VLOOKUP(B1020,S!$A:$D,2,FALSE)</f>
        <v>FURO EM ALVENARIA PARA DIÂMETROS MENORES OU IGUAIS A 40 MM. AF_05/2015</v>
      </c>
      <c r="D1020" s="91"/>
      <c r="E1020" s="91"/>
      <c r="F1020" s="92"/>
      <c r="G1020" s="6" t="str">
        <f>VLOOKUP(B1020,S!$A:$D,3,FALSE)</f>
        <v>UN</v>
      </c>
      <c r="H1020" s="21"/>
      <c r="I1020" s="21">
        <f>J1023</f>
        <v>10.71</v>
      </c>
      <c r="J1020" s="76"/>
      <c r="K1020" s="72"/>
      <c r="L1020" s="21">
        <f>VLOOKUP(B1020,S!$A:$D,4,FALSE)</f>
        <v>10.71</v>
      </c>
      <c r="M1020" s="6" t="str">
        <f>IF(ROUND((L1020-I1020),2)=0,"OK, confere com a tabela.",IF(ROUND((L1020-I1020),2)&lt;0,"ACIMA ("&amp;TEXT(ROUND(I1020*100/L1020,4),"0,0000")&amp;" %) da tabela.","ABAIXO ("&amp;TEXT(ROUND(I1020*100/L1020,4),"0,0000")&amp;" %) da tabela."))</f>
        <v>OK, confere com a tabela.</v>
      </c>
    </row>
    <row r="1021" spans="1:13" ht="30" customHeight="1" x14ac:dyDescent="0.25">
      <c r="A1021" s="16" t="s">
        <v>302</v>
      </c>
      <c r="B1021" s="20">
        <v>88248</v>
      </c>
      <c r="C1021" s="77" t="str">
        <f>VLOOKUP(B1021,IF(A1021="COMPOSICAO",S!$A:$D,I!$A:$D),2,FALSE)</f>
        <v>AUXILIAR DE ENCANADOR OU BOMBEIRO HIDRÁULICO COM ENCARGOS COMPLEMENTARES</v>
      </c>
      <c r="D1021" s="77"/>
      <c r="E1021" s="77"/>
      <c r="F1021" s="77"/>
      <c r="G1021" s="16" t="str">
        <f>VLOOKUP(B1021,IF(A1021="COMPOSICAO",S!$A:$D,I!$A:$D),3,FALSE)</f>
        <v>H</v>
      </c>
      <c r="H1021" s="30">
        <v>7.6999999999999999E-2</v>
      </c>
      <c r="I1021" s="17">
        <f>IF(A1021="COMPOSICAO",VLOOKUP("TOTAL - "&amp;B1021,COMPOSICAO_AUX_2!$A:$J,10,FALSE),VLOOKUP(B1021,I!$A:$D,4,FALSE))</f>
        <v>14.96</v>
      </c>
      <c r="J1021" s="80">
        <f>TRUNC(H1021*I1021,2)</f>
        <v>1.1499999999999999</v>
      </c>
      <c r="K1021" s="81"/>
    </row>
    <row r="1022" spans="1:13" ht="30" customHeight="1" x14ac:dyDescent="0.25">
      <c r="A1022" s="16" t="s">
        <v>302</v>
      </c>
      <c r="B1022" s="20">
        <v>88267</v>
      </c>
      <c r="C1022" s="77" t="str">
        <f>VLOOKUP(B1022,IF(A1022="COMPOSICAO",S!$A:$D,I!$A:$D),2,FALSE)</f>
        <v>ENCANADOR OU BOMBEIRO HIDRÁULICO COM ENCARGOS COMPLEMENTARES</v>
      </c>
      <c r="D1022" s="77"/>
      <c r="E1022" s="77"/>
      <c r="F1022" s="77"/>
      <c r="G1022" s="16" t="str">
        <f>VLOOKUP(B1022,IF(A1022="COMPOSICAO",S!$A:$D,I!$A:$D),3,FALSE)</f>
        <v>H</v>
      </c>
      <c r="H1022" s="30">
        <v>0.49399999999999999</v>
      </c>
      <c r="I1022" s="17">
        <f>IF(A1022="COMPOSICAO",VLOOKUP("TOTAL - "&amp;B1022,COMPOSICAO_AUX_2!$A:$J,10,FALSE),VLOOKUP(B1022,I!$A:$D,4,FALSE))</f>
        <v>19.37</v>
      </c>
      <c r="J1022" s="80">
        <f>TRUNC(H1022*I1022,2)</f>
        <v>9.56</v>
      </c>
      <c r="K1022" s="81"/>
    </row>
    <row r="1023" spans="1:13" ht="15" customHeight="1" x14ac:dyDescent="0.25">
      <c r="A1023" s="23" t="s">
        <v>659</v>
      </c>
      <c r="B1023" s="24"/>
      <c r="C1023" s="24"/>
      <c r="D1023" s="24"/>
      <c r="E1023" s="24"/>
      <c r="F1023" s="24"/>
      <c r="G1023" s="25"/>
      <c r="H1023" s="26"/>
      <c r="I1023" s="27"/>
      <c r="J1023" s="80">
        <f>SUM(J1020:K1022)</f>
        <v>10.71</v>
      </c>
      <c r="K1023" s="81"/>
    </row>
    <row r="1024" spans="1:13" ht="15" customHeight="1" x14ac:dyDescent="0.25">
      <c r="A1024" s="3"/>
      <c r="B1024" s="3"/>
      <c r="C1024" s="3"/>
      <c r="D1024" s="3"/>
      <c r="E1024" s="3"/>
      <c r="F1024" s="3"/>
      <c r="G1024" s="3"/>
      <c r="H1024" s="3"/>
      <c r="I1024" s="3"/>
      <c r="J1024" s="3"/>
      <c r="K1024" s="3"/>
    </row>
    <row r="1025" spans="1:13" ht="15" customHeight="1" x14ac:dyDescent="0.25">
      <c r="A1025" s="10" t="s">
        <v>295</v>
      </c>
      <c r="B1025" s="10" t="s">
        <v>31</v>
      </c>
      <c r="C1025" s="82" t="s">
        <v>7</v>
      </c>
      <c r="D1025" s="83"/>
      <c r="E1025" s="83"/>
      <c r="F1025" s="83"/>
      <c r="G1025" s="6" t="s">
        <v>32</v>
      </c>
      <c r="H1025" s="6" t="s">
        <v>296</v>
      </c>
      <c r="I1025" s="6" t="s">
        <v>297</v>
      </c>
      <c r="J1025" s="57" t="s">
        <v>9</v>
      </c>
      <c r="K1025" s="58"/>
    </row>
    <row r="1026" spans="1:13" ht="30" customHeight="1" x14ac:dyDescent="0.25">
      <c r="A1026" s="6" t="s">
        <v>413</v>
      </c>
      <c r="B1026" s="28">
        <v>90453</v>
      </c>
      <c r="C1026" s="91" t="str">
        <f>VLOOKUP(B1026,S!$A:$D,2,FALSE)</f>
        <v>PASSANTE TIPO TUBO DE DIÂMETRO MENOR OU IGUAL A 40 MM, FIXADO EM LAJE. AF_05/2015</v>
      </c>
      <c r="D1026" s="91"/>
      <c r="E1026" s="91"/>
      <c r="F1026" s="92"/>
      <c r="G1026" s="6" t="str">
        <f>VLOOKUP(B1026,S!$A:$D,3,FALSE)</f>
        <v>UN</v>
      </c>
      <c r="H1026" s="21"/>
      <c r="I1026" s="21">
        <f>J1031</f>
        <v>2.27</v>
      </c>
      <c r="J1026" s="76"/>
      <c r="K1026" s="72"/>
      <c r="L1026" s="21">
        <f>VLOOKUP(B1026,S!$A:$D,4,FALSE)</f>
        <v>2.27</v>
      </c>
      <c r="M1026" s="6" t="str">
        <f>IF(ROUND((L1026-I1026),2)=0,"OK, confere com a tabela.",IF(ROUND((L1026-I1026),2)&lt;0,"ACIMA ("&amp;TEXT(ROUND(I1026*100/L1026,4),"0,0000")&amp;" %) da tabela.","ABAIXO ("&amp;TEXT(ROUND(I1026*100/L1026,4),"0,0000")&amp;" %) da tabela."))</f>
        <v>OK, confere com a tabela.</v>
      </c>
    </row>
    <row r="1027" spans="1:13" ht="30" customHeight="1" x14ac:dyDescent="0.25">
      <c r="A1027" s="16" t="s">
        <v>306</v>
      </c>
      <c r="B1027" s="20">
        <v>9835</v>
      </c>
      <c r="C1027" s="77" t="str">
        <f>VLOOKUP(B1027,IF(A1027="COMPOSICAO",S!$A:$D,I!$A:$D),2,FALSE)</f>
        <v>TUBO PVC  SERIE NORMAL, DN 40 MM, PARA ESGOTO  PREDIAL (NBR 5688)</v>
      </c>
      <c r="D1027" s="77"/>
      <c r="E1027" s="77"/>
      <c r="F1027" s="77"/>
      <c r="G1027" s="16" t="str">
        <f>VLOOKUP(B1027,IF(A1027="COMPOSICAO",S!$A:$D,I!$A:$D),3,FALSE)</f>
        <v>M</v>
      </c>
      <c r="H1027" s="17">
        <v>0.15</v>
      </c>
      <c r="I1027" s="17">
        <f>IF(A1027="COMPOSICAO",VLOOKUP("TOTAL - "&amp;B1027,COMPOSICAO_AUX_2!$A:$J,10,FALSE),VLOOKUP(B1027,I!$A:$D,4,FALSE))</f>
        <v>5.04</v>
      </c>
      <c r="J1027" s="80">
        <f>TRUNC(H1027*I1027,2)</f>
        <v>0.75</v>
      </c>
      <c r="K1027" s="81"/>
    </row>
    <row r="1028" spans="1:13" ht="30" customHeight="1" x14ac:dyDescent="0.25">
      <c r="A1028" s="16" t="s">
        <v>306</v>
      </c>
      <c r="B1028" s="20">
        <v>43132</v>
      </c>
      <c r="C1028" s="77" t="str">
        <f>VLOOKUP(B1028,IF(A1028="COMPOSICAO",S!$A:$D,I!$A:$D),2,FALSE)</f>
        <v>ARAME RECOZIDO 16 BWG, D = 1,65 MM (0,016 KG/M) OU 18 BWG, D = 1,25 MM (0,01 KG/M)</v>
      </c>
      <c r="D1028" s="77"/>
      <c r="E1028" s="77"/>
      <c r="F1028" s="77"/>
      <c r="G1028" s="16" t="str">
        <f>VLOOKUP(B1028,IF(A1028="COMPOSICAO",S!$A:$D,I!$A:$D),3,FALSE)</f>
        <v>KG</v>
      </c>
      <c r="H1028" s="30">
        <v>5.0000000000000001E-3</v>
      </c>
      <c r="I1028" s="17">
        <f>IF(A1028="COMPOSICAO",VLOOKUP("TOTAL - "&amp;B1028,COMPOSICAO_AUX_2!$A:$J,10,FALSE),VLOOKUP(B1028,I!$A:$D,4,FALSE))</f>
        <v>22.75</v>
      </c>
      <c r="J1028" s="80">
        <f>TRUNC(H1028*I1028,2)</f>
        <v>0.11</v>
      </c>
      <c r="K1028" s="81"/>
    </row>
    <row r="1029" spans="1:13" ht="30" customHeight="1" x14ac:dyDescent="0.25">
      <c r="A1029" s="16" t="s">
        <v>302</v>
      </c>
      <c r="B1029" s="20">
        <v>88248</v>
      </c>
      <c r="C1029" s="77" t="str">
        <f>VLOOKUP(B1029,IF(A1029="COMPOSICAO",S!$A:$D,I!$A:$D),2,FALSE)</f>
        <v>AUXILIAR DE ENCANADOR OU BOMBEIRO HIDRÁULICO COM ENCARGOS COMPLEMENTARES</v>
      </c>
      <c r="D1029" s="77"/>
      <c r="E1029" s="77"/>
      <c r="F1029" s="77"/>
      <c r="G1029" s="16" t="str">
        <f>VLOOKUP(B1029,IF(A1029="COMPOSICAO",S!$A:$D,I!$A:$D),3,FALSE)</f>
        <v>H</v>
      </c>
      <c r="H1029" s="17">
        <v>0.01</v>
      </c>
      <c r="I1029" s="17">
        <f>IF(A1029="COMPOSICAO",VLOOKUP("TOTAL - "&amp;B1029,COMPOSICAO_AUX_2!$A:$J,10,FALSE),VLOOKUP(B1029,I!$A:$D,4,FALSE))</f>
        <v>14.96</v>
      </c>
      <c r="J1029" s="80">
        <f>TRUNC(H1029*I1029,2)</f>
        <v>0.14000000000000001</v>
      </c>
      <c r="K1029" s="81"/>
    </row>
    <row r="1030" spans="1:13" ht="30" customHeight="1" x14ac:dyDescent="0.25">
      <c r="A1030" s="16" t="s">
        <v>302</v>
      </c>
      <c r="B1030" s="20">
        <v>88267</v>
      </c>
      <c r="C1030" s="77" t="str">
        <f>VLOOKUP(B1030,IF(A1030="COMPOSICAO",S!$A:$D,I!$A:$D),2,FALSE)</f>
        <v>ENCANADOR OU BOMBEIRO HIDRÁULICO COM ENCARGOS COMPLEMENTARES</v>
      </c>
      <c r="D1030" s="77"/>
      <c r="E1030" s="77"/>
      <c r="F1030" s="77"/>
      <c r="G1030" s="16" t="str">
        <f>VLOOKUP(B1030,IF(A1030="COMPOSICAO",S!$A:$D,I!$A:$D),3,FALSE)</f>
        <v>H</v>
      </c>
      <c r="H1030" s="30">
        <v>6.6000000000000003E-2</v>
      </c>
      <c r="I1030" s="17">
        <f>IF(A1030="COMPOSICAO",VLOOKUP("TOTAL - "&amp;B1030,COMPOSICAO_AUX_2!$A:$J,10,FALSE),VLOOKUP(B1030,I!$A:$D,4,FALSE))</f>
        <v>19.37</v>
      </c>
      <c r="J1030" s="80">
        <f>TRUNC(H1030*I1030,2)</f>
        <v>1.27</v>
      </c>
      <c r="K1030" s="81"/>
    </row>
    <row r="1031" spans="1:13" ht="15" customHeight="1" x14ac:dyDescent="0.25">
      <c r="A1031" s="23" t="s">
        <v>660</v>
      </c>
      <c r="B1031" s="24"/>
      <c r="C1031" s="24"/>
      <c r="D1031" s="24"/>
      <c r="E1031" s="24"/>
      <c r="F1031" s="24"/>
      <c r="G1031" s="25"/>
      <c r="H1031" s="26"/>
      <c r="I1031" s="27"/>
      <c r="J1031" s="80">
        <f>SUM(J1026:K1030)</f>
        <v>2.27</v>
      </c>
      <c r="K1031" s="81"/>
    </row>
    <row r="1032" spans="1:13" ht="15" customHeight="1" x14ac:dyDescent="0.25">
      <c r="A1032" s="3"/>
      <c r="B1032" s="3"/>
      <c r="C1032" s="3"/>
      <c r="D1032" s="3"/>
      <c r="E1032" s="3"/>
      <c r="F1032" s="3"/>
      <c r="G1032" s="3"/>
      <c r="H1032" s="3"/>
      <c r="I1032" s="3"/>
      <c r="J1032" s="3"/>
      <c r="K1032" s="3"/>
    </row>
    <row r="1033" spans="1:13" ht="15" customHeight="1" x14ac:dyDescent="0.25">
      <c r="A1033" s="10" t="s">
        <v>295</v>
      </c>
      <c r="B1033" s="10" t="s">
        <v>31</v>
      </c>
      <c r="C1033" s="82" t="s">
        <v>7</v>
      </c>
      <c r="D1033" s="83"/>
      <c r="E1033" s="83"/>
      <c r="F1033" s="83"/>
      <c r="G1033" s="6" t="s">
        <v>32</v>
      </c>
      <c r="H1033" s="6" t="s">
        <v>296</v>
      </c>
      <c r="I1033" s="6" t="s">
        <v>297</v>
      </c>
      <c r="J1033" s="57" t="s">
        <v>9</v>
      </c>
      <c r="K1033" s="58"/>
    </row>
    <row r="1034" spans="1:13" ht="60" customHeight="1" x14ac:dyDescent="0.25">
      <c r="A1034" s="6" t="s">
        <v>413</v>
      </c>
      <c r="B1034" s="28">
        <v>91185</v>
      </c>
      <c r="C1034" s="91" t="str">
        <f>VLOOKUP(B1034,S!$A:$D,2,FALSE)</f>
        <v>FIXAÇÃO DE TUBOS HORIZONTAIS DE PVC, CPVC OU COBRE DIÂMETROS MENORES OU IGUAIS A 40 MM COM ABRAÇADEIRA METÁLICA FLEXÍVEL 18 MM, FIXADA DIRETAMENTE NA LAJE. AF_05/2015</v>
      </c>
      <c r="D1034" s="91"/>
      <c r="E1034" s="91"/>
      <c r="F1034" s="92"/>
      <c r="G1034" s="6" t="str">
        <f>VLOOKUP(B1034,S!$A:$D,3,FALSE)</f>
        <v>M</v>
      </c>
      <c r="H1034" s="21"/>
      <c r="I1034" s="21">
        <f>J1039</f>
        <v>5.26</v>
      </c>
      <c r="J1034" s="76"/>
      <c r="K1034" s="72"/>
      <c r="L1034" s="21">
        <f>VLOOKUP(B1034,S!$A:$D,4,FALSE)</f>
        <v>5.26</v>
      </c>
      <c r="M1034" s="6" t="str">
        <f>IF(ROUND((L1034-I1034),2)=0,"OK, confere com a tabela.",IF(ROUND((L1034-I1034),2)&lt;0,"ACIMA ("&amp;TEXT(ROUND(I1034*100/L1034,4),"0,0000")&amp;" %) da tabela.","ABAIXO ("&amp;TEXT(ROUND(I1034*100/L1034,4),"0,0000")&amp;" %) da tabela."))</f>
        <v>OK, confere com a tabela.</v>
      </c>
    </row>
    <row r="1035" spans="1:13" ht="45" customHeight="1" x14ac:dyDescent="0.25">
      <c r="A1035" s="16" t="s">
        <v>306</v>
      </c>
      <c r="B1035" s="20">
        <v>4350</v>
      </c>
      <c r="C1035" s="77" t="str">
        <f>VLOOKUP(B1035,IF(A1035="COMPOSICAO",S!$A:$D,I!$A:$D),2,FALSE)</f>
        <v>BUCHA DE NYLON, DIAMETRO DO FURO 8 MM, COMPRIMENTO 40 MM, COM PARAFUSO DE ROSCA SOBERBA, CABECA CHATA, FENDA SIMPLES, 4,8 X 50 MM</v>
      </c>
      <c r="D1035" s="77"/>
      <c r="E1035" s="77"/>
      <c r="F1035" s="77"/>
      <c r="G1035" s="16" t="str">
        <f>VLOOKUP(B1035,IF(A1035="COMPOSICAO",S!$A:$D,I!$A:$D),3,FALSE)</f>
        <v>UN</v>
      </c>
      <c r="H1035" s="17">
        <v>1.3</v>
      </c>
      <c r="I1035" s="17">
        <f>IF(A1035="COMPOSICAO",VLOOKUP("TOTAL - "&amp;B1035,COMPOSICAO_AUX_2!$A:$J,10,FALSE),VLOOKUP(B1035,I!$A:$D,4,FALSE))</f>
        <v>0.38</v>
      </c>
      <c r="J1035" s="80">
        <f>TRUNC(H1035*I1035,2)</f>
        <v>0.49</v>
      </c>
      <c r="K1035" s="81"/>
    </row>
    <row r="1036" spans="1:13" ht="30" customHeight="1" x14ac:dyDescent="0.25">
      <c r="A1036" s="16" t="s">
        <v>306</v>
      </c>
      <c r="B1036" s="20">
        <v>14153</v>
      </c>
      <c r="C1036" s="77" t="str">
        <f>VLOOKUP(B1036,IF(A1036="COMPOSICAO",S!$A:$D,I!$A:$D),2,FALSE)</f>
        <v>FITA METALICA PERFURADA, L = *18* MM, ROLO DE 30 M, CARGA RECOMENDADA = *30* KGF</v>
      </c>
      <c r="D1036" s="77"/>
      <c r="E1036" s="77"/>
      <c r="F1036" s="77"/>
      <c r="G1036" s="16" t="str">
        <f>VLOOKUP(B1036,IF(A1036="COMPOSICAO",S!$A:$D,I!$A:$D),3,FALSE)</f>
        <v>UN</v>
      </c>
      <c r="H1036" s="30">
        <v>5.0000000000000001E-3</v>
      </c>
      <c r="I1036" s="17">
        <f>IF(A1036="COMPOSICAO",VLOOKUP("TOTAL - "&amp;B1036,COMPOSICAO_AUX_2!$A:$J,10,FALSE),VLOOKUP(B1036,I!$A:$D,4,FALSE))</f>
        <v>52.81</v>
      </c>
      <c r="J1036" s="80">
        <f>TRUNC(H1036*I1036,2)</f>
        <v>0.26</v>
      </c>
      <c r="K1036" s="81"/>
    </row>
    <row r="1037" spans="1:13" ht="30" customHeight="1" x14ac:dyDescent="0.25">
      <c r="A1037" s="16" t="s">
        <v>302</v>
      </c>
      <c r="B1037" s="20">
        <v>88248</v>
      </c>
      <c r="C1037" s="77" t="str">
        <f>VLOOKUP(B1037,IF(A1037="COMPOSICAO",S!$A:$D,I!$A:$D),2,FALSE)</f>
        <v>AUXILIAR DE ENCANADOR OU BOMBEIRO HIDRÁULICO COM ENCARGOS COMPLEMENTARES</v>
      </c>
      <c r="D1037" s="77"/>
      <c r="E1037" s="77"/>
      <c r="F1037" s="77"/>
      <c r="G1037" s="16" t="str">
        <f>VLOOKUP(B1037,IF(A1037="COMPOSICAO",S!$A:$D,I!$A:$D),3,FALSE)</f>
        <v>H</v>
      </c>
      <c r="H1037" s="30">
        <v>2.9000000000000001E-2</v>
      </c>
      <c r="I1037" s="17">
        <f>IF(A1037="COMPOSICAO",VLOOKUP("TOTAL - "&amp;B1037,COMPOSICAO_AUX_2!$A:$J,10,FALSE),VLOOKUP(B1037,I!$A:$D,4,FALSE))</f>
        <v>14.96</v>
      </c>
      <c r="J1037" s="80">
        <f>TRUNC(H1037*I1037,2)</f>
        <v>0.43</v>
      </c>
      <c r="K1037" s="81"/>
    </row>
    <row r="1038" spans="1:13" ht="30" customHeight="1" x14ac:dyDescent="0.25">
      <c r="A1038" s="16" t="s">
        <v>302</v>
      </c>
      <c r="B1038" s="20">
        <v>88267</v>
      </c>
      <c r="C1038" s="77" t="str">
        <f>VLOOKUP(B1038,IF(A1038="COMPOSICAO",S!$A:$D,I!$A:$D),2,FALSE)</f>
        <v>ENCANADOR OU BOMBEIRO HIDRÁULICO COM ENCARGOS COMPLEMENTARES</v>
      </c>
      <c r="D1038" s="77"/>
      <c r="E1038" s="77"/>
      <c r="F1038" s="77"/>
      <c r="G1038" s="16" t="str">
        <f>VLOOKUP(B1038,IF(A1038="COMPOSICAO",S!$A:$D,I!$A:$D),3,FALSE)</f>
        <v>H</v>
      </c>
      <c r="H1038" s="30">
        <v>0.21099999999999999</v>
      </c>
      <c r="I1038" s="17">
        <f>IF(A1038="COMPOSICAO",VLOOKUP("TOTAL - "&amp;B1038,COMPOSICAO_AUX_2!$A:$J,10,FALSE),VLOOKUP(B1038,I!$A:$D,4,FALSE))</f>
        <v>19.37</v>
      </c>
      <c r="J1038" s="80">
        <f>TRUNC(H1038*I1038,2)</f>
        <v>4.08</v>
      </c>
      <c r="K1038" s="81"/>
    </row>
    <row r="1039" spans="1:13" ht="15" customHeight="1" x14ac:dyDescent="0.25">
      <c r="A1039" s="23" t="s">
        <v>661</v>
      </c>
      <c r="B1039" s="24"/>
      <c r="C1039" s="24"/>
      <c r="D1039" s="24"/>
      <c r="E1039" s="24"/>
      <c r="F1039" s="24"/>
      <c r="G1039" s="25"/>
      <c r="H1039" s="26"/>
      <c r="I1039" s="27"/>
      <c r="J1039" s="80">
        <f>SUM(J1034:K1038)</f>
        <v>5.26</v>
      </c>
      <c r="K1039" s="81"/>
    </row>
    <row r="1040" spans="1:13" ht="15" customHeight="1" x14ac:dyDescent="0.25">
      <c r="A1040" s="3"/>
      <c r="B1040" s="3"/>
      <c r="C1040" s="3"/>
      <c r="D1040" s="3"/>
      <c r="E1040" s="3"/>
      <c r="F1040" s="3"/>
      <c r="G1040" s="3"/>
      <c r="H1040" s="3"/>
      <c r="I1040" s="3"/>
      <c r="J1040" s="3"/>
      <c r="K1040" s="3"/>
    </row>
    <row r="1041" spans="1:13" ht="15" customHeight="1" x14ac:dyDescent="0.25">
      <c r="A1041" s="10" t="s">
        <v>295</v>
      </c>
      <c r="B1041" s="10" t="s">
        <v>31</v>
      </c>
      <c r="C1041" s="82" t="s">
        <v>7</v>
      </c>
      <c r="D1041" s="83"/>
      <c r="E1041" s="83"/>
      <c r="F1041" s="83"/>
      <c r="G1041" s="6" t="s">
        <v>32</v>
      </c>
      <c r="H1041" s="6" t="s">
        <v>296</v>
      </c>
      <c r="I1041" s="6" t="s">
        <v>297</v>
      </c>
      <c r="J1041" s="57" t="s">
        <v>9</v>
      </c>
      <c r="K1041" s="58"/>
    </row>
    <row r="1042" spans="1:13" ht="30" customHeight="1" x14ac:dyDescent="0.25">
      <c r="A1042" s="6" t="s">
        <v>413</v>
      </c>
      <c r="B1042" s="28">
        <v>91190</v>
      </c>
      <c r="C1042" s="91" t="str">
        <f>VLOOKUP(B1042,S!$A:$D,2,FALSE)</f>
        <v>CHUMBAMENTO PONTUAL EM PASSAGEM DE TUBO COM DIÂMETRO MENOR OU IGUAL A 40 MM. AF_05/2015</v>
      </c>
      <c r="D1042" s="91"/>
      <c r="E1042" s="91"/>
      <c r="F1042" s="92"/>
      <c r="G1042" s="6" t="str">
        <f>VLOOKUP(B1042,S!$A:$D,3,FALSE)</f>
        <v>UN</v>
      </c>
      <c r="H1042" s="21"/>
      <c r="I1042" s="21">
        <f>J1046</f>
        <v>3.84</v>
      </c>
      <c r="J1042" s="76"/>
      <c r="K1042" s="72"/>
      <c r="L1042" s="21">
        <f>VLOOKUP(B1042,S!$A:$D,4,FALSE)</f>
        <v>3.84</v>
      </c>
      <c r="M1042" s="6" t="str">
        <f>IF(ROUND((L1042-I1042),2)=0,"OK, confere com a tabela.",IF(ROUND((L1042-I1042),2)&lt;0,"ACIMA ("&amp;TEXT(ROUND(I1042*100/L1042,4),"0,0000")&amp;" %) da tabela.","ABAIXO ("&amp;TEXT(ROUND(I1042*100/L1042,4),"0,0000")&amp;" %) da tabela."))</f>
        <v>OK, confere com a tabela.</v>
      </c>
    </row>
    <row r="1043" spans="1:13" ht="30" customHeight="1" x14ac:dyDescent="0.25">
      <c r="A1043" s="16" t="s">
        <v>302</v>
      </c>
      <c r="B1043" s="20">
        <v>88248</v>
      </c>
      <c r="C1043" s="77" t="str">
        <f>VLOOKUP(B1043,IF(A1043="COMPOSICAO",S!$A:$D,I!$A:$D),2,FALSE)</f>
        <v>AUXILIAR DE ENCANADOR OU BOMBEIRO HIDRÁULICO COM ENCARGOS COMPLEMENTARES</v>
      </c>
      <c r="D1043" s="77"/>
      <c r="E1043" s="77"/>
      <c r="F1043" s="77"/>
      <c r="G1043" s="16" t="str">
        <f>VLOOKUP(B1043,IF(A1043="COMPOSICAO",S!$A:$D,I!$A:$D),3,FALSE)</f>
        <v>H</v>
      </c>
      <c r="H1043" s="30">
        <v>2.1999999999999999E-2</v>
      </c>
      <c r="I1043" s="17">
        <f>IF(A1043="COMPOSICAO",VLOOKUP("TOTAL - "&amp;B1043,COMPOSICAO_AUX_2!$A:$J,10,FALSE),VLOOKUP(B1043,I!$A:$D,4,FALSE))</f>
        <v>14.96</v>
      </c>
      <c r="J1043" s="80">
        <f>TRUNC(H1043*I1043,2)</f>
        <v>0.32</v>
      </c>
      <c r="K1043" s="81"/>
    </row>
    <row r="1044" spans="1:13" ht="30" customHeight="1" x14ac:dyDescent="0.25">
      <c r="A1044" s="16" t="s">
        <v>302</v>
      </c>
      <c r="B1044" s="20">
        <v>88267</v>
      </c>
      <c r="C1044" s="77" t="str">
        <f>VLOOKUP(B1044,IF(A1044="COMPOSICAO",S!$A:$D,I!$A:$D),2,FALSE)</f>
        <v>ENCANADOR OU BOMBEIRO HIDRÁULICO COM ENCARGOS COMPLEMENTARES</v>
      </c>
      <c r="D1044" s="77"/>
      <c r="E1044" s="77"/>
      <c r="F1044" s="77"/>
      <c r="G1044" s="16" t="str">
        <f>VLOOKUP(B1044,IF(A1044="COMPOSICAO",S!$A:$D,I!$A:$D),3,FALSE)</f>
        <v>H</v>
      </c>
      <c r="H1044" s="30">
        <v>0.155</v>
      </c>
      <c r="I1044" s="17">
        <f>IF(A1044="COMPOSICAO",VLOOKUP("TOTAL - "&amp;B1044,COMPOSICAO_AUX_2!$A:$J,10,FALSE),VLOOKUP(B1044,I!$A:$D,4,FALSE))</f>
        <v>19.37</v>
      </c>
      <c r="J1044" s="80">
        <f>TRUNC(H1044*I1044,2)</f>
        <v>3</v>
      </c>
      <c r="K1044" s="81"/>
    </row>
    <row r="1045" spans="1:13" ht="45" customHeight="1" x14ac:dyDescent="0.25">
      <c r="A1045" s="16" t="s">
        <v>302</v>
      </c>
      <c r="B1045" s="20">
        <v>88629</v>
      </c>
      <c r="C1045" s="77" t="str">
        <f>VLOOKUP(B1045,IF(A1045="COMPOSICAO",S!$A:$D,I!$A:$D),2,FALSE)</f>
        <v>ARGAMASSA TRAÇO 1:3 (EM VOLUME DE CIMENTO E AREIA MÉDIA ÚMIDA), PREPARO MANUAL. AF_08/2019</v>
      </c>
      <c r="D1045" s="77"/>
      <c r="E1045" s="77"/>
      <c r="F1045" s="77"/>
      <c r="G1045" s="16" t="str">
        <f>VLOOKUP(B1045,IF(A1045="COMPOSICAO",S!$A:$D,I!$A:$D),3,FALSE)</f>
        <v>M3</v>
      </c>
      <c r="H1045" s="30">
        <v>1E-3</v>
      </c>
      <c r="I1045" s="17">
        <f>IF(A1045="COMPOSICAO",VLOOKUP("TOTAL - "&amp;B1045,COMPOSICAO_AUX_2!$A:$J,10,FALSE),VLOOKUP(B1045,I!$A:$D,4,FALSE))</f>
        <v>527.39</v>
      </c>
      <c r="J1045" s="80">
        <f>TRUNC(H1045*I1045,2)</f>
        <v>0.52</v>
      </c>
      <c r="K1045" s="81"/>
    </row>
    <row r="1046" spans="1:13" ht="15" customHeight="1" x14ac:dyDescent="0.25">
      <c r="A1046" s="23" t="s">
        <v>662</v>
      </c>
      <c r="B1046" s="24"/>
      <c r="C1046" s="24"/>
      <c r="D1046" s="24"/>
      <c r="E1046" s="24"/>
      <c r="F1046" s="24"/>
      <c r="G1046" s="25"/>
      <c r="H1046" s="26"/>
      <c r="I1046" s="27"/>
      <c r="J1046" s="80">
        <f>SUM(J1042:K1045)</f>
        <v>3.84</v>
      </c>
      <c r="K1046" s="81"/>
    </row>
    <row r="1047" spans="1:13" ht="15" customHeight="1" x14ac:dyDescent="0.25">
      <c r="A1047" s="3"/>
      <c r="B1047" s="3"/>
      <c r="C1047" s="3"/>
      <c r="D1047" s="3"/>
      <c r="E1047" s="3"/>
      <c r="F1047" s="3"/>
      <c r="G1047" s="3"/>
      <c r="H1047" s="3"/>
      <c r="I1047" s="3"/>
      <c r="J1047" s="3"/>
      <c r="K1047" s="3"/>
    </row>
    <row r="1048" spans="1:13" ht="15" customHeight="1" x14ac:dyDescent="0.25">
      <c r="A1048" s="10" t="s">
        <v>295</v>
      </c>
      <c r="B1048" s="10" t="s">
        <v>31</v>
      </c>
      <c r="C1048" s="82" t="s">
        <v>7</v>
      </c>
      <c r="D1048" s="83"/>
      <c r="E1048" s="83"/>
      <c r="F1048" s="83"/>
      <c r="G1048" s="6" t="s">
        <v>32</v>
      </c>
      <c r="H1048" s="6" t="s">
        <v>296</v>
      </c>
      <c r="I1048" s="6" t="s">
        <v>297</v>
      </c>
      <c r="J1048" s="57" t="s">
        <v>9</v>
      </c>
      <c r="K1048" s="58"/>
    </row>
    <row r="1049" spans="1:13" ht="45" customHeight="1" x14ac:dyDescent="0.25">
      <c r="A1049" s="6" t="s">
        <v>11</v>
      </c>
      <c r="B1049" s="6" t="s">
        <v>431</v>
      </c>
      <c r="C1049" s="91" t="str">
        <f>VLOOKUP(B1049,S!$A:$D,2,FALSE)</f>
        <v>REATERRO MANUAL DE VALAS, COM COMPACTAÇÃO UTILIZANDO SÊPO, SEM CONTROLE DO GRAU DE COMPACTAÇÃO</v>
      </c>
      <c r="D1049" s="91"/>
      <c r="E1049" s="91"/>
      <c r="F1049" s="92"/>
      <c r="G1049" s="6" t="str">
        <f>VLOOKUP(B1049,S!$A:$D,3,FALSE)</f>
        <v>M3</v>
      </c>
      <c r="H1049" s="21"/>
      <c r="I1049" s="21">
        <f>J1052</f>
        <v>27.02</v>
      </c>
      <c r="J1049" s="76"/>
      <c r="K1049" s="72"/>
      <c r="L1049" s="21">
        <f>VLOOKUP(B1049,S!$A:$D,4,FALSE)</f>
        <v>27.03</v>
      </c>
      <c r="M1049" s="6" t="str">
        <f>IF(ROUND((L1049-I1049),2)=0,"OK, confere com a tabela.",IF(ROUND((L1049-I1049),2)&lt;0,"ACIMA ("&amp;TEXT(ROUND(I1049*100/L1049,4),"0,0000")&amp;" %) da tabela.","ABAIXO ("&amp;TEXT(ROUND(I1049*100/L1049,4),"0,0000")&amp;" %) da tabela."))</f>
        <v>ABAIXO (99,9630 %) da tabela.</v>
      </c>
    </row>
    <row r="1050" spans="1:13" ht="15" customHeight="1" x14ac:dyDescent="0.25">
      <c r="A1050" s="16" t="s">
        <v>306</v>
      </c>
      <c r="B1050" s="20">
        <v>6111</v>
      </c>
      <c r="C1050" s="77" t="str">
        <f>VLOOKUP(B1050,IF(A1050="COMPOSICAO",S!$A:$D,I!$A:$D),2,FALSE)</f>
        <v>SERVENTE DE OBRAS</v>
      </c>
      <c r="D1050" s="77"/>
      <c r="E1050" s="77"/>
      <c r="F1050" s="77"/>
      <c r="G1050" s="16" t="str">
        <f>VLOOKUP(B1050,IF(A1050="COMPOSICAO",S!$A:$D,I!$A:$D),3,FALSE)</f>
        <v>H</v>
      </c>
      <c r="H1050" s="17">
        <v>2</v>
      </c>
      <c r="I1050" s="17">
        <f>IF(A1050="COMPOSICAO",VLOOKUP("TOTAL - "&amp;B1050,COMPOSICAO_AUX_2!$A:$J,10,FALSE),VLOOKUP(B1050,I!$A:$D,4,FALSE))</f>
        <v>10.6</v>
      </c>
      <c r="J1050" s="80">
        <f>TRUNC(H1050*I1050,2)</f>
        <v>21.2</v>
      </c>
      <c r="K1050" s="81"/>
    </row>
    <row r="1051" spans="1:13" ht="15" customHeight="1" x14ac:dyDescent="0.25">
      <c r="A1051" s="16" t="s">
        <v>302</v>
      </c>
      <c r="B1051" s="16" t="s">
        <v>319</v>
      </c>
      <c r="C1051" s="77" t="str">
        <f>VLOOKUP(B1051,IF(A1051="COMPOSICAO",S!$A:$D,I!$A:$D),2,FALSE)</f>
        <v>ENCARGOS COMPLEMENTARES - SERVENTE</v>
      </c>
      <c r="D1051" s="77"/>
      <c r="E1051" s="77"/>
      <c r="F1051" s="77"/>
      <c r="G1051" s="16" t="str">
        <f>VLOOKUP(B1051,IF(A1051="COMPOSICAO",S!$A:$D,I!$A:$D),3,FALSE)</f>
        <v>H</v>
      </c>
      <c r="H1051" s="17">
        <v>2</v>
      </c>
      <c r="I1051" s="17">
        <f>IF(A1051="COMPOSICAO",VLOOKUP("TOTAL - "&amp;B1051,COMPOSICAO_AUX_2!$A:$J,10,FALSE),VLOOKUP(B1051,I!$A:$D,4,FALSE))</f>
        <v>2.9100000000000006</v>
      </c>
      <c r="J1051" s="80">
        <f>TRUNC(H1051*I1051,2)</f>
        <v>5.82</v>
      </c>
      <c r="K1051" s="81"/>
    </row>
    <row r="1052" spans="1:13" ht="15" customHeight="1" x14ac:dyDescent="0.25">
      <c r="A1052" s="23" t="s">
        <v>663</v>
      </c>
      <c r="B1052" s="24"/>
      <c r="C1052" s="24"/>
      <c r="D1052" s="24"/>
      <c r="E1052" s="24"/>
      <c r="F1052" s="24"/>
      <c r="G1052" s="25"/>
      <c r="H1052" s="26"/>
      <c r="I1052" s="27"/>
      <c r="J1052" s="80">
        <f>SUM(J1049:K1051)</f>
        <v>27.02</v>
      </c>
      <c r="K1052" s="81"/>
    </row>
    <row r="1053" spans="1:13" ht="15" customHeight="1" x14ac:dyDescent="0.25">
      <c r="A1053" s="3"/>
      <c r="B1053" s="3"/>
      <c r="C1053" s="3"/>
      <c r="D1053" s="3"/>
      <c r="E1053" s="3"/>
      <c r="F1053" s="3"/>
      <c r="G1053" s="3"/>
      <c r="H1053" s="3"/>
      <c r="I1053" s="3"/>
      <c r="J1053" s="3"/>
      <c r="K1053" s="3"/>
    </row>
    <row r="1054" spans="1:13" ht="15" customHeight="1" x14ac:dyDescent="0.25">
      <c r="A1054" s="10" t="s">
        <v>295</v>
      </c>
      <c r="B1054" s="10" t="s">
        <v>31</v>
      </c>
      <c r="C1054" s="82" t="s">
        <v>7</v>
      </c>
      <c r="D1054" s="83"/>
      <c r="E1054" s="83"/>
      <c r="F1054" s="83"/>
      <c r="G1054" s="6" t="s">
        <v>32</v>
      </c>
      <c r="H1054" s="6" t="s">
        <v>296</v>
      </c>
      <c r="I1054" s="6" t="s">
        <v>297</v>
      </c>
      <c r="J1054" s="57" t="s">
        <v>9</v>
      </c>
      <c r="K1054" s="58"/>
    </row>
    <row r="1055" spans="1:13" ht="30" customHeight="1" x14ac:dyDescent="0.25">
      <c r="A1055" s="6" t="s">
        <v>11</v>
      </c>
      <c r="B1055" s="6" t="s">
        <v>432</v>
      </c>
      <c r="C1055" s="91" t="str">
        <f>VLOOKUP(B1055,S!$A:$D,2,FALSE)</f>
        <v>FORMA PLANA PARA FUNDAÇÕES, EM COMPENSADO RESINADO 12MM, 02 USOS</v>
      </c>
      <c r="D1055" s="91"/>
      <c r="E1055" s="91"/>
      <c r="F1055" s="92"/>
      <c r="G1055" s="6" t="str">
        <f>VLOOKUP(B1055,S!$A:$D,3,FALSE)</f>
        <v>M2</v>
      </c>
      <c r="H1055" s="21"/>
      <c r="I1055" s="21">
        <f>J1066</f>
        <v>94.34</v>
      </c>
      <c r="J1055" s="76"/>
      <c r="K1055" s="72"/>
      <c r="L1055" s="21">
        <f>VLOOKUP(B1055,S!$A:$D,4,FALSE)</f>
        <v>96.24</v>
      </c>
      <c r="M1055" s="6" t="str">
        <f>IF(ROUND((L1055-I1055),2)=0,"OK, confere com a tabela.",IF(ROUND((L1055-I1055),2)&lt;0,"ACIMA ("&amp;TEXT(ROUND(I1055*100/L1055,4),"0,0000")&amp;" %) da tabela.","ABAIXO ("&amp;TEXT(ROUND(I1055*100/L1055,4),"0,0000")&amp;" %) da tabela."))</f>
        <v>ABAIXO (98,0258 %) da tabela.</v>
      </c>
    </row>
    <row r="1056" spans="1:13" ht="30" customHeight="1" x14ac:dyDescent="0.25">
      <c r="A1056" s="16" t="s">
        <v>306</v>
      </c>
      <c r="B1056" s="16" t="s">
        <v>664</v>
      </c>
      <c r="C1056" s="77" t="str">
        <f>VLOOKUP(B1056,IF(A1056="COMPOSICAO",S!$A:$D,I!$A:$D),2,FALSE)</f>
        <v>COMPENSADO RESINADO 12MM - MADEIRIT OU SIMILAR</v>
      </c>
      <c r="D1056" s="77"/>
      <c r="E1056" s="77"/>
      <c r="F1056" s="77"/>
      <c r="G1056" s="16" t="str">
        <f>VLOOKUP(B1056,IF(A1056="COMPOSICAO",S!$A:$D,I!$A:$D),3,FALSE)</f>
        <v>M2</v>
      </c>
      <c r="H1056" s="17">
        <v>0.55000000000000004</v>
      </c>
      <c r="I1056" s="17">
        <f>IF(A1056="COMPOSICAO",VLOOKUP("TOTAL - "&amp;B1056,COMPOSICAO_AUX_2!$A:$J,10,FALSE),VLOOKUP(B1056,I!$A:$D,4,FALSE))</f>
        <v>46.9</v>
      </c>
      <c r="J1056" s="80">
        <f t="shared" ref="J1056:J1065" si="52">TRUNC(H1056*I1056,2)</f>
        <v>25.79</v>
      </c>
      <c r="K1056" s="81"/>
    </row>
    <row r="1057" spans="1:13" ht="30" customHeight="1" x14ac:dyDescent="0.25">
      <c r="A1057" s="16" t="s">
        <v>306</v>
      </c>
      <c r="B1057" s="16" t="s">
        <v>665</v>
      </c>
      <c r="C1057" s="77" t="str">
        <f>VLOOKUP(B1057,IF(A1057="COMPOSICAO",S!$A:$D,I!$A:$D),2,FALSE)</f>
        <v>MADEIRA MISTA SERRADA (BARROTE) 6 X 6CM - 0,0036 M3/M (ANGELIM, LOURO)</v>
      </c>
      <c r="D1057" s="77"/>
      <c r="E1057" s="77"/>
      <c r="F1057" s="77"/>
      <c r="G1057" s="16" t="str">
        <f>VLOOKUP(B1057,IF(A1057="COMPOSICAO",S!$A:$D,I!$A:$D),3,FALSE)</f>
        <v>M</v>
      </c>
      <c r="H1057" s="17">
        <v>0.5</v>
      </c>
      <c r="I1057" s="17">
        <f>IF(A1057="COMPOSICAO",VLOOKUP("TOTAL - "&amp;B1057,COMPOSICAO_AUX_2!$A:$J,10,FALSE),VLOOKUP(B1057,I!$A:$D,4,FALSE))</f>
        <v>10.39</v>
      </c>
      <c r="J1057" s="80">
        <f t="shared" si="52"/>
        <v>5.19</v>
      </c>
      <c r="K1057" s="81"/>
    </row>
    <row r="1058" spans="1:13" ht="15" customHeight="1" x14ac:dyDescent="0.25">
      <c r="A1058" s="16" t="s">
        <v>306</v>
      </c>
      <c r="B1058" s="20">
        <v>1213</v>
      </c>
      <c r="C1058" s="77" t="str">
        <f>VLOOKUP(B1058,IF(A1058="COMPOSICAO",S!$A:$D,I!$A:$D),2,FALSE)</f>
        <v>CARPINTEIRO DE FORMAS</v>
      </c>
      <c r="D1058" s="77"/>
      <c r="E1058" s="77"/>
      <c r="F1058" s="77"/>
      <c r="G1058" s="16" t="str">
        <f>VLOOKUP(B1058,IF(A1058="COMPOSICAO",S!$A:$D,I!$A:$D),3,FALSE)</f>
        <v>H</v>
      </c>
      <c r="H1058" s="17">
        <v>1.5</v>
      </c>
      <c r="I1058" s="17">
        <f>IF(A1058="COMPOSICAO",VLOOKUP("TOTAL - "&amp;B1058,COMPOSICAO_AUX_2!$A:$J,10,FALSE),VLOOKUP(B1058,I!$A:$D,4,FALSE))</f>
        <v>14.93</v>
      </c>
      <c r="J1058" s="80">
        <f t="shared" si="52"/>
        <v>22.39</v>
      </c>
      <c r="K1058" s="81"/>
    </row>
    <row r="1059" spans="1:13" ht="30" customHeight="1" x14ac:dyDescent="0.25">
      <c r="A1059" s="16" t="s">
        <v>306</v>
      </c>
      <c r="B1059" s="20">
        <v>2692</v>
      </c>
      <c r="C1059" s="77" t="str">
        <f>VLOOKUP(B1059,IF(A1059="COMPOSICAO",S!$A:$D,I!$A:$D),2,FALSE)</f>
        <v>DESMOLDANTE PROTETOR PARA FORMAS DE MADEIRA, DE BASE OLEOSA EMULSIONADA EM AGUA</v>
      </c>
      <c r="D1059" s="77"/>
      <c r="E1059" s="77"/>
      <c r="F1059" s="77"/>
      <c r="G1059" s="16" t="str">
        <f>VLOOKUP(B1059,IF(A1059="COMPOSICAO",S!$A:$D,I!$A:$D),3,FALSE)</f>
        <v>L</v>
      </c>
      <c r="H1059" s="30">
        <v>1.4999999999999999E-2</v>
      </c>
      <c r="I1059" s="17">
        <f>IF(A1059="COMPOSICAO",VLOOKUP("TOTAL - "&amp;B1059,COMPOSICAO_AUX_2!$A:$J,10,FALSE),VLOOKUP(B1059,I!$A:$D,4,FALSE))</f>
        <v>6.94</v>
      </c>
      <c r="J1059" s="80">
        <f t="shared" si="52"/>
        <v>0.1</v>
      </c>
      <c r="K1059" s="81"/>
    </row>
    <row r="1060" spans="1:13" ht="30" customHeight="1" x14ac:dyDescent="0.25">
      <c r="A1060" s="16" t="s">
        <v>306</v>
      </c>
      <c r="B1060" s="20">
        <v>4509</v>
      </c>
      <c r="C1060" s="77" t="str">
        <f>VLOOKUP(B1060,IF(A1060="COMPOSICAO",S!$A:$D,I!$A:$D),2,FALSE)</f>
        <v>SARRAFO *2,5 X 10* CM EM PINUS, MISTA OU EQUIVALENTE DA REGIAO - BRUTA</v>
      </c>
      <c r="D1060" s="77"/>
      <c r="E1060" s="77"/>
      <c r="F1060" s="77"/>
      <c r="G1060" s="16" t="str">
        <f>VLOOKUP(B1060,IF(A1060="COMPOSICAO",S!$A:$D,I!$A:$D),3,FALSE)</f>
        <v>M</v>
      </c>
      <c r="H1060" s="17">
        <v>2</v>
      </c>
      <c r="I1060" s="17">
        <f>IF(A1060="COMPOSICAO",VLOOKUP("TOTAL - "&amp;B1060,COMPOSICAO_AUX_2!$A:$J,10,FALSE),VLOOKUP(B1060,I!$A:$D,4,FALSE))</f>
        <v>3.38</v>
      </c>
      <c r="J1060" s="80">
        <f t="shared" si="52"/>
        <v>6.76</v>
      </c>
      <c r="K1060" s="81"/>
    </row>
    <row r="1061" spans="1:13" ht="30" customHeight="1" x14ac:dyDescent="0.25">
      <c r="A1061" s="16" t="s">
        <v>306</v>
      </c>
      <c r="B1061" s="20">
        <v>5067</v>
      </c>
      <c r="C1061" s="77" t="str">
        <f>VLOOKUP(B1061,IF(A1061="COMPOSICAO",S!$A:$D,I!$A:$D),2,FALSE)</f>
        <v>PREGO DE ACO POLIDO COM CABECA 16 X 24 (2 1/4 X 12)</v>
      </c>
      <c r="D1061" s="77"/>
      <c r="E1061" s="77"/>
      <c r="F1061" s="77"/>
      <c r="G1061" s="16" t="str">
        <f>VLOOKUP(B1061,IF(A1061="COMPOSICAO",S!$A:$D,I!$A:$D),3,FALSE)</f>
        <v>KG</v>
      </c>
      <c r="H1061" s="17">
        <v>0.3</v>
      </c>
      <c r="I1061" s="17">
        <f>IF(A1061="COMPOSICAO",VLOOKUP("TOTAL - "&amp;B1061,COMPOSICAO_AUX_2!$A:$J,10,FALSE),VLOOKUP(B1061,I!$A:$D,4,FALSE))</f>
        <v>20.6</v>
      </c>
      <c r="J1061" s="80">
        <f t="shared" si="52"/>
        <v>6.18</v>
      </c>
      <c r="K1061" s="81"/>
    </row>
    <row r="1062" spans="1:13" ht="15" customHeight="1" x14ac:dyDescent="0.25">
      <c r="A1062" s="16" t="s">
        <v>306</v>
      </c>
      <c r="B1062" s="20">
        <v>6111</v>
      </c>
      <c r="C1062" s="77" t="str">
        <f>VLOOKUP(B1062,IF(A1062="COMPOSICAO",S!$A:$D,I!$A:$D),2,FALSE)</f>
        <v>SERVENTE DE OBRAS</v>
      </c>
      <c r="D1062" s="77"/>
      <c r="E1062" s="77"/>
      <c r="F1062" s="77"/>
      <c r="G1062" s="16" t="str">
        <f>VLOOKUP(B1062,IF(A1062="COMPOSICAO",S!$A:$D,I!$A:$D),3,FALSE)</f>
        <v>H</v>
      </c>
      <c r="H1062" s="17">
        <v>1.5</v>
      </c>
      <c r="I1062" s="17">
        <f>IF(A1062="COMPOSICAO",VLOOKUP("TOTAL - "&amp;B1062,COMPOSICAO_AUX_2!$A:$J,10,FALSE),VLOOKUP(B1062,I!$A:$D,4,FALSE))</f>
        <v>10.6</v>
      </c>
      <c r="J1062" s="80">
        <f t="shared" si="52"/>
        <v>15.9</v>
      </c>
      <c r="K1062" s="81"/>
    </row>
    <row r="1063" spans="1:13" ht="30" customHeight="1" x14ac:dyDescent="0.25">
      <c r="A1063" s="16" t="s">
        <v>306</v>
      </c>
      <c r="B1063" s="20">
        <v>43130</v>
      </c>
      <c r="C1063" s="77" t="str">
        <f>VLOOKUP(B1063,IF(A1063="COMPOSICAO",S!$A:$D,I!$A:$D),2,FALSE)</f>
        <v>ARAME GALVANIZADO 12 BWG, D = 2,76 MM (0,048 KG/M) OU 14 BWG, D = 2,11 MM (0,026 KG/M)</v>
      </c>
      <c r="D1063" s="77"/>
      <c r="E1063" s="77"/>
      <c r="F1063" s="77"/>
      <c r="G1063" s="16" t="str">
        <f>VLOOKUP(B1063,IF(A1063="COMPOSICAO",S!$A:$D,I!$A:$D),3,FALSE)</f>
        <v>KG</v>
      </c>
      <c r="H1063" s="17">
        <v>0.15</v>
      </c>
      <c r="I1063" s="17">
        <f>IF(A1063="COMPOSICAO",VLOOKUP("TOTAL - "&amp;B1063,COMPOSICAO_AUX_2!$A:$J,10,FALSE),VLOOKUP(B1063,I!$A:$D,4,FALSE))</f>
        <v>22.75</v>
      </c>
      <c r="J1063" s="80">
        <f t="shared" si="52"/>
        <v>3.41</v>
      </c>
      <c r="K1063" s="81"/>
    </row>
    <row r="1064" spans="1:13" ht="15" customHeight="1" x14ac:dyDescent="0.25">
      <c r="A1064" s="16" t="s">
        <v>302</v>
      </c>
      <c r="B1064" s="16" t="s">
        <v>319</v>
      </c>
      <c r="C1064" s="77" t="str">
        <f>VLOOKUP(B1064,IF(A1064="COMPOSICAO",S!$A:$D,I!$A:$D),2,FALSE)</f>
        <v>ENCARGOS COMPLEMENTARES - SERVENTE</v>
      </c>
      <c r="D1064" s="77"/>
      <c r="E1064" s="77"/>
      <c r="F1064" s="77"/>
      <c r="G1064" s="16" t="str">
        <f>VLOOKUP(B1064,IF(A1064="COMPOSICAO",S!$A:$D,I!$A:$D),3,FALSE)</f>
        <v>H</v>
      </c>
      <c r="H1064" s="17">
        <v>1.5</v>
      </c>
      <c r="I1064" s="17">
        <f>IF(A1064="COMPOSICAO",VLOOKUP("TOTAL - "&amp;B1064,COMPOSICAO_AUX_2!$A:$J,10,FALSE),VLOOKUP(B1064,I!$A:$D,4,FALSE))</f>
        <v>2.9100000000000006</v>
      </c>
      <c r="J1064" s="80">
        <f t="shared" si="52"/>
        <v>4.3600000000000003</v>
      </c>
      <c r="K1064" s="81"/>
    </row>
    <row r="1065" spans="1:13" ht="15" customHeight="1" x14ac:dyDescent="0.25">
      <c r="A1065" s="16" t="s">
        <v>302</v>
      </c>
      <c r="B1065" s="16" t="s">
        <v>666</v>
      </c>
      <c r="C1065" s="77" t="str">
        <f>VLOOKUP(B1065,IF(A1065="COMPOSICAO",S!$A:$D,I!$A:$D),2,FALSE)</f>
        <v>ENCARGOS COMPLEMENTARES - CARPINTEIRO</v>
      </c>
      <c r="D1065" s="77"/>
      <c r="E1065" s="77"/>
      <c r="F1065" s="77"/>
      <c r="G1065" s="16" t="str">
        <f>VLOOKUP(B1065,IF(A1065="COMPOSICAO",S!$A:$D,I!$A:$D),3,FALSE)</f>
        <v>H</v>
      </c>
      <c r="H1065" s="17">
        <v>1.5</v>
      </c>
      <c r="I1065" s="17">
        <f>IF(A1065="COMPOSICAO",VLOOKUP("TOTAL - "&amp;B1065,COMPOSICAO_AUX_2!$A:$J,10,FALSE),VLOOKUP(B1065,I!$A:$D,4,FALSE))</f>
        <v>2.8400000000000003</v>
      </c>
      <c r="J1065" s="80">
        <f t="shared" si="52"/>
        <v>4.26</v>
      </c>
      <c r="K1065" s="81"/>
    </row>
    <row r="1066" spans="1:13" ht="15" customHeight="1" x14ac:dyDescent="0.25">
      <c r="A1066" s="23" t="s">
        <v>667</v>
      </c>
      <c r="B1066" s="24"/>
      <c r="C1066" s="24"/>
      <c r="D1066" s="24"/>
      <c r="E1066" s="24"/>
      <c r="F1066" s="24"/>
      <c r="G1066" s="25"/>
      <c r="H1066" s="26"/>
      <c r="I1066" s="27"/>
      <c r="J1066" s="80">
        <f>SUM(J1055:K1065)</f>
        <v>94.34</v>
      </c>
      <c r="K1066" s="81"/>
    </row>
    <row r="1067" spans="1:13" ht="15" customHeight="1" x14ac:dyDescent="0.25">
      <c r="A1067" s="3"/>
      <c r="B1067" s="3"/>
      <c r="C1067" s="3"/>
      <c r="D1067" s="3"/>
      <c r="E1067" s="3"/>
      <c r="F1067" s="3"/>
      <c r="G1067" s="3"/>
      <c r="H1067" s="3"/>
      <c r="I1067" s="3"/>
      <c r="J1067" s="3"/>
      <c r="K1067" s="3"/>
    </row>
    <row r="1068" spans="1:13" ht="15" customHeight="1" x14ac:dyDescent="0.25">
      <c r="A1068" s="10" t="s">
        <v>295</v>
      </c>
      <c r="B1068" s="10" t="s">
        <v>31</v>
      </c>
      <c r="C1068" s="82" t="s">
        <v>7</v>
      </c>
      <c r="D1068" s="83"/>
      <c r="E1068" s="83"/>
      <c r="F1068" s="83"/>
      <c r="G1068" s="6" t="s">
        <v>32</v>
      </c>
      <c r="H1068" s="6" t="s">
        <v>296</v>
      </c>
      <c r="I1068" s="6" t="s">
        <v>297</v>
      </c>
      <c r="J1068" s="57" t="s">
        <v>9</v>
      </c>
      <c r="K1068" s="58"/>
    </row>
    <row r="1069" spans="1:13" ht="30" customHeight="1" x14ac:dyDescent="0.25">
      <c r="A1069" s="6" t="s">
        <v>11</v>
      </c>
      <c r="B1069" s="6" t="s">
        <v>433</v>
      </c>
      <c r="C1069" s="91" t="str">
        <f>VLOOKUP(B1069,S!$A:$D,2,FALSE)</f>
        <v>CONCRETO SIMPLES FABRICADO NA OBRA, FCK=13,5 MPA, LANÇADO E ADENSADO</v>
      </c>
      <c r="D1069" s="91"/>
      <c r="E1069" s="91"/>
      <c r="F1069" s="92"/>
      <c r="G1069" s="6" t="str">
        <f>VLOOKUP(B1069,S!$A:$D,3,FALSE)</f>
        <v>M3</v>
      </c>
      <c r="H1069" s="21"/>
      <c r="I1069" s="21">
        <f>J1072</f>
        <v>424.89</v>
      </c>
      <c r="J1069" s="76"/>
      <c r="K1069" s="72"/>
      <c r="L1069" s="21">
        <f>VLOOKUP(B1069,S!$A:$D,4,FALSE)</f>
        <v>455.67</v>
      </c>
      <c r="M1069" s="6" t="str">
        <f>IF(ROUND((L1069-I1069),2)=0,"OK, confere com a tabela.",IF(ROUND((L1069-I1069),2)&lt;0,"ACIMA ("&amp;TEXT(ROUND(I1069*100/L1069,4),"0,0000")&amp;" %) da tabela.","ABAIXO ("&amp;TEXT(ROUND(I1069*100/L1069,4),"0,0000")&amp;" %) da tabela."))</f>
        <v>ABAIXO (93,2451 %) da tabela.</v>
      </c>
    </row>
    <row r="1070" spans="1:13" ht="30" customHeight="1" x14ac:dyDescent="0.25">
      <c r="A1070" s="16" t="s">
        <v>302</v>
      </c>
      <c r="B1070" s="16" t="s">
        <v>668</v>
      </c>
      <c r="C1070" s="77" t="str">
        <f>VLOOKUP(B1070,IF(A1070="COMPOSICAO",S!$A:$D,I!$A:$D),2,FALSE)</f>
        <v>CONCRETO SIMPLES FABRICADO NA OBRA, FCK=13,5 MPA (B1/B2), SEM LANÇAMENTO E ADENSAMENTO</v>
      </c>
      <c r="D1070" s="77"/>
      <c r="E1070" s="77"/>
      <c r="F1070" s="77"/>
      <c r="G1070" s="16" t="str">
        <f>VLOOKUP(B1070,IF(A1070="COMPOSICAO",S!$A:$D,I!$A:$D),3,FALSE)</f>
        <v>M3</v>
      </c>
      <c r="H1070" s="17">
        <v>1</v>
      </c>
      <c r="I1070" s="17">
        <f>IF(A1070="COMPOSICAO",VLOOKUP("TOTAL - "&amp;B1070,COMPOSICAO_AUX_2!$A:$J,10,FALSE),VLOOKUP(B1070,I!$A:$D,4,FALSE))</f>
        <v>387.07</v>
      </c>
      <c r="J1070" s="80">
        <f>TRUNC(H1070*I1070,2)</f>
        <v>387.07</v>
      </c>
      <c r="K1070" s="81"/>
    </row>
    <row r="1071" spans="1:13" ht="45" customHeight="1" x14ac:dyDescent="0.25">
      <c r="A1071" s="16" t="s">
        <v>302</v>
      </c>
      <c r="B1071" s="16" t="s">
        <v>669</v>
      </c>
      <c r="C1071" s="77" t="str">
        <f>VLOOKUP(B1071,IF(A1071="COMPOSICAO",S!$A:$D,I!$A:$D),2,FALSE)</f>
        <v>LANÇAMENTO DE CONCRETO SIMPLES FABRICADO NA OBRA, INCLUSIVE ADENSAMENTO E ACABAMENTO EM PEÇAS DA SUPERESTRUTURA</v>
      </c>
      <c r="D1071" s="77"/>
      <c r="E1071" s="77"/>
      <c r="F1071" s="77"/>
      <c r="G1071" s="16" t="str">
        <f>VLOOKUP(B1071,IF(A1071="COMPOSICAO",S!$A:$D,I!$A:$D),3,FALSE)</f>
        <v>M3</v>
      </c>
      <c r="H1071" s="17">
        <v>1</v>
      </c>
      <c r="I1071" s="17">
        <f>IF(A1071="COMPOSICAO",VLOOKUP("TOTAL - "&amp;B1071,COMPOSICAO_AUX_2!$A:$J,10,FALSE),VLOOKUP(B1071,I!$A:$D,4,FALSE))</f>
        <v>37.820000000000007</v>
      </c>
      <c r="J1071" s="80">
        <f>TRUNC(H1071*I1071,2)</f>
        <v>37.82</v>
      </c>
      <c r="K1071" s="81"/>
    </row>
    <row r="1072" spans="1:13" ht="15" customHeight="1" x14ac:dyDescent="0.25">
      <c r="A1072" s="23" t="s">
        <v>670</v>
      </c>
      <c r="B1072" s="24"/>
      <c r="C1072" s="24"/>
      <c r="D1072" s="24"/>
      <c r="E1072" s="24"/>
      <c r="F1072" s="24"/>
      <c r="G1072" s="25"/>
      <c r="H1072" s="26"/>
      <c r="I1072" s="27"/>
      <c r="J1072" s="80">
        <f>SUM(J1069:K1071)</f>
        <v>424.89</v>
      </c>
      <c r="K1072" s="81"/>
    </row>
    <row r="1073" spans="1:13" ht="15" customHeight="1" x14ac:dyDescent="0.25">
      <c r="A1073" s="3"/>
      <c r="B1073" s="3"/>
      <c r="C1073" s="3"/>
      <c r="D1073" s="3"/>
      <c r="E1073" s="3"/>
      <c r="F1073" s="3"/>
      <c r="G1073" s="3"/>
      <c r="H1073" s="3"/>
      <c r="I1073" s="3"/>
      <c r="J1073" s="3"/>
      <c r="K1073" s="3"/>
    </row>
    <row r="1074" spans="1:13" ht="15" customHeight="1" x14ac:dyDescent="0.25">
      <c r="A1074" s="10" t="s">
        <v>295</v>
      </c>
      <c r="B1074" s="10" t="s">
        <v>31</v>
      </c>
      <c r="C1074" s="82" t="s">
        <v>7</v>
      </c>
      <c r="D1074" s="83"/>
      <c r="E1074" s="83"/>
      <c r="F1074" s="83"/>
      <c r="G1074" s="6" t="s">
        <v>32</v>
      </c>
      <c r="H1074" s="6" t="s">
        <v>296</v>
      </c>
      <c r="I1074" s="6" t="s">
        <v>297</v>
      </c>
      <c r="J1074" s="57" t="s">
        <v>9</v>
      </c>
      <c r="K1074" s="58"/>
    </row>
    <row r="1075" spans="1:13" ht="30" customHeight="1" x14ac:dyDescent="0.25">
      <c r="A1075" s="6" t="s">
        <v>11</v>
      </c>
      <c r="B1075" s="6" t="s">
        <v>434</v>
      </c>
      <c r="C1075" s="91" t="str">
        <f>VLOOKUP(B1075,S!$A:$D,2,FALSE)</f>
        <v>CONCRETO SIMPLES FABRICADO NA OBRA, FCK=15 MPA, LANÇADO E ADENSADO</v>
      </c>
      <c r="D1075" s="91"/>
      <c r="E1075" s="91"/>
      <c r="F1075" s="92"/>
      <c r="G1075" s="6" t="str">
        <f>VLOOKUP(B1075,S!$A:$D,3,FALSE)</f>
        <v>M3</v>
      </c>
      <c r="H1075" s="21"/>
      <c r="I1075" s="21">
        <f>J1078</f>
        <v>449.89</v>
      </c>
      <c r="J1075" s="76"/>
      <c r="K1075" s="72"/>
      <c r="L1075" s="21">
        <f>VLOOKUP(B1075,S!$A:$D,4,FALSE)</f>
        <v>478.52</v>
      </c>
      <c r="M1075" s="6" t="str">
        <f>IF(ROUND((L1075-I1075),2)=0,"OK, confere com a tabela.",IF(ROUND((L1075-I1075),2)&lt;0,"ACIMA ("&amp;TEXT(ROUND(I1075*100/L1075,4),"0,0000")&amp;" %) da tabela.","ABAIXO ("&amp;TEXT(ROUND(I1075*100/L1075,4),"0,0000")&amp;" %) da tabela."))</f>
        <v>ABAIXO (94,0170 %) da tabela.</v>
      </c>
    </row>
    <row r="1076" spans="1:13" ht="30" customHeight="1" x14ac:dyDescent="0.25">
      <c r="A1076" s="16" t="s">
        <v>302</v>
      </c>
      <c r="B1076" s="16" t="s">
        <v>671</v>
      </c>
      <c r="C1076" s="77" t="str">
        <f>VLOOKUP(B1076,IF(A1076="COMPOSICAO",S!$A:$D,I!$A:$D),2,FALSE)</f>
        <v>CONCRETO SIMPLES FCK= 15 MPA (B1/B2), FABRICADO NA OBRA, SEM LANÇAMENTO E ADENSAMENTO</v>
      </c>
      <c r="D1076" s="77"/>
      <c r="E1076" s="77"/>
      <c r="F1076" s="77"/>
      <c r="G1076" s="16" t="str">
        <f>VLOOKUP(B1076,IF(A1076="COMPOSICAO",S!$A:$D,I!$A:$D),3,FALSE)</f>
        <v>M3</v>
      </c>
      <c r="H1076" s="17">
        <v>1</v>
      </c>
      <c r="I1076" s="17">
        <f>IF(A1076="COMPOSICAO",VLOOKUP("TOTAL - "&amp;B1076,COMPOSICAO_AUX_2!$A:$J,10,FALSE),VLOOKUP(B1076,I!$A:$D,4,FALSE))</f>
        <v>412.07</v>
      </c>
      <c r="J1076" s="80">
        <f>TRUNC(H1076*I1076,2)</f>
        <v>412.07</v>
      </c>
      <c r="K1076" s="81"/>
    </row>
    <row r="1077" spans="1:13" ht="45" customHeight="1" x14ac:dyDescent="0.25">
      <c r="A1077" s="16" t="s">
        <v>302</v>
      </c>
      <c r="B1077" s="16" t="s">
        <v>669</v>
      </c>
      <c r="C1077" s="77" t="str">
        <f>VLOOKUP(B1077,IF(A1077="COMPOSICAO",S!$A:$D,I!$A:$D),2,FALSE)</f>
        <v>LANÇAMENTO DE CONCRETO SIMPLES FABRICADO NA OBRA, INCLUSIVE ADENSAMENTO E ACABAMENTO EM PEÇAS DA SUPERESTRUTURA</v>
      </c>
      <c r="D1077" s="77"/>
      <c r="E1077" s="77"/>
      <c r="F1077" s="77"/>
      <c r="G1077" s="16" t="str">
        <f>VLOOKUP(B1077,IF(A1077="COMPOSICAO",S!$A:$D,I!$A:$D),3,FALSE)</f>
        <v>M3</v>
      </c>
      <c r="H1077" s="17">
        <v>1</v>
      </c>
      <c r="I1077" s="17">
        <f>IF(A1077="COMPOSICAO",VLOOKUP("TOTAL - "&amp;B1077,COMPOSICAO_AUX_2!$A:$J,10,FALSE),VLOOKUP(B1077,I!$A:$D,4,FALSE))</f>
        <v>37.820000000000007</v>
      </c>
      <c r="J1077" s="80">
        <f>TRUNC(H1077*I1077,2)</f>
        <v>37.82</v>
      </c>
      <c r="K1077" s="81"/>
    </row>
    <row r="1078" spans="1:13" ht="15" customHeight="1" x14ac:dyDescent="0.25">
      <c r="A1078" s="23" t="s">
        <v>672</v>
      </c>
      <c r="B1078" s="24"/>
      <c r="C1078" s="24"/>
      <c r="D1078" s="24"/>
      <c r="E1078" s="24"/>
      <c r="F1078" s="24"/>
      <c r="G1078" s="25"/>
      <c r="H1078" s="26"/>
      <c r="I1078" s="27"/>
      <c r="J1078" s="80">
        <f>SUM(J1075:K1077)</f>
        <v>449.89</v>
      </c>
      <c r="K1078" s="81"/>
    </row>
    <row r="1079" spans="1:13" ht="15" customHeight="1" x14ac:dyDescent="0.25">
      <c r="A1079" s="3"/>
      <c r="B1079" s="3"/>
      <c r="C1079" s="3"/>
      <c r="D1079" s="3"/>
      <c r="E1079" s="3"/>
      <c r="F1079" s="3"/>
      <c r="G1079" s="3"/>
      <c r="H1079" s="3"/>
      <c r="I1079" s="3"/>
      <c r="J1079" s="3"/>
      <c r="K1079" s="3"/>
    </row>
    <row r="1080" spans="1:13" ht="15" customHeight="1" x14ac:dyDescent="0.25">
      <c r="A1080" s="10" t="s">
        <v>295</v>
      </c>
      <c r="B1080" s="10" t="s">
        <v>31</v>
      </c>
      <c r="C1080" s="82" t="s">
        <v>7</v>
      </c>
      <c r="D1080" s="83"/>
      <c r="E1080" s="83"/>
      <c r="F1080" s="83"/>
      <c r="G1080" s="6" t="s">
        <v>32</v>
      </c>
      <c r="H1080" s="6" t="s">
        <v>296</v>
      </c>
      <c r="I1080" s="6" t="s">
        <v>297</v>
      </c>
      <c r="J1080" s="57" t="s">
        <v>9</v>
      </c>
      <c r="K1080" s="58"/>
    </row>
    <row r="1081" spans="1:13" ht="60" customHeight="1" x14ac:dyDescent="0.25">
      <c r="A1081" s="6" t="s">
        <v>11</v>
      </c>
      <c r="B1081" s="6" t="s">
        <v>435</v>
      </c>
      <c r="C1081" s="91" t="str">
        <f>VLOOKUP(B1081,S!$A:$D,2,FALSE)</f>
        <v>AÇO CA - 50 Ø 6,3 A 12,5MM, INCLUSIVE CORTE, DOBRAGEM, MONTAGEM E COLOCACAO DE FERRAGENS NAS FORMAS, PARA SUPERESTRUTURAS E FUNDAÇÕES - R1</v>
      </c>
      <c r="D1081" s="91"/>
      <c r="E1081" s="91"/>
      <c r="F1081" s="92"/>
      <c r="G1081" s="6" t="str">
        <f>VLOOKUP(B1081,S!$A:$D,3,FALSE)</f>
        <v>KG</v>
      </c>
      <c r="H1081" s="21"/>
      <c r="I1081" s="21">
        <f>J1090</f>
        <v>14.66</v>
      </c>
      <c r="J1081" s="76"/>
      <c r="K1081" s="72"/>
      <c r="L1081" s="21">
        <f>VLOOKUP(B1081,S!$A:$D,4,FALSE)</f>
        <v>14.57</v>
      </c>
      <c r="M1081" s="6" t="str">
        <f>IF(ROUND((L1081-I1081),2)=0,"OK, confere com a tabela.",IF(ROUND((L1081-I1081),2)&lt;0,"ACIMA ("&amp;TEXT(ROUND(I1081*100/L1081,4),"0,0000")&amp;" %) da tabela.","ABAIXO ("&amp;TEXT(ROUND(I1081*100/L1081,4),"0,0000")&amp;" %) da tabela."))</f>
        <v>ACIMA (100,6177 %) da tabela.</v>
      </c>
    </row>
    <row r="1082" spans="1:13" ht="15" customHeight="1" x14ac:dyDescent="0.25">
      <c r="A1082" s="16" t="s">
        <v>306</v>
      </c>
      <c r="B1082" s="16" t="s">
        <v>673</v>
      </c>
      <c r="C1082" s="77" t="str">
        <f>VLOOKUP(B1082,IF(A1082="COMPOSICAO",S!$A:$D,I!$A:$D),2,FALSE)</f>
        <v>AÇO CA-50   6,3 A 12,5 MM</v>
      </c>
      <c r="D1082" s="77"/>
      <c r="E1082" s="77"/>
      <c r="F1082" s="77"/>
      <c r="G1082" s="16" t="str">
        <f>VLOOKUP(B1082,IF(A1082="COMPOSICAO",S!$A:$D,I!$A:$D),3,FALSE)</f>
        <v>KG</v>
      </c>
      <c r="H1082" s="17">
        <v>1</v>
      </c>
      <c r="I1082" s="17">
        <f>IF(A1082="COMPOSICAO",VLOOKUP("TOTAL - "&amp;B1082,COMPOSICAO_AUX_2!$A:$J,10,FALSE),VLOOKUP(B1082,I!$A:$D,4,FALSE))</f>
        <v>11.51</v>
      </c>
      <c r="J1082" s="80">
        <f t="shared" ref="J1082:J1089" si="53">TRUNC(H1082*I1082,2)</f>
        <v>11.51</v>
      </c>
      <c r="K1082" s="81"/>
    </row>
    <row r="1083" spans="1:13" ht="15" customHeight="1" x14ac:dyDescent="0.25">
      <c r="A1083" s="16" t="s">
        <v>306</v>
      </c>
      <c r="B1083" s="20">
        <v>378</v>
      </c>
      <c r="C1083" s="77" t="str">
        <f>VLOOKUP(B1083,IF(A1083="COMPOSICAO",S!$A:$D,I!$A:$D),2,FALSE)</f>
        <v>ARMADOR</v>
      </c>
      <c r="D1083" s="77"/>
      <c r="E1083" s="77"/>
      <c r="F1083" s="77"/>
      <c r="G1083" s="16" t="str">
        <f>VLOOKUP(B1083,IF(A1083="COMPOSICAO",S!$A:$D,I!$A:$D),3,FALSE)</f>
        <v>H</v>
      </c>
      <c r="H1083" s="17">
        <v>0.08</v>
      </c>
      <c r="I1083" s="17">
        <f>IF(A1083="COMPOSICAO",VLOOKUP("TOTAL - "&amp;B1083,COMPOSICAO_AUX_2!$A:$J,10,FALSE),VLOOKUP(B1083,I!$A:$D,4,FALSE))</f>
        <v>14.93</v>
      </c>
      <c r="J1083" s="80">
        <f t="shared" si="53"/>
        <v>1.19</v>
      </c>
      <c r="K1083" s="81"/>
    </row>
    <row r="1084" spans="1:13" ht="15" customHeight="1" x14ac:dyDescent="0.25">
      <c r="A1084" s="16" t="s">
        <v>306</v>
      </c>
      <c r="B1084" s="20">
        <v>6111</v>
      </c>
      <c r="C1084" s="77" t="str">
        <f>VLOOKUP(B1084,IF(A1084="COMPOSICAO",S!$A:$D,I!$A:$D),2,FALSE)</f>
        <v>SERVENTE DE OBRAS</v>
      </c>
      <c r="D1084" s="77"/>
      <c r="E1084" s="77"/>
      <c r="F1084" s="77"/>
      <c r="G1084" s="16" t="str">
        <f>VLOOKUP(B1084,IF(A1084="COMPOSICAO",S!$A:$D,I!$A:$D),3,FALSE)</f>
        <v>H</v>
      </c>
      <c r="H1084" s="17">
        <v>0.08</v>
      </c>
      <c r="I1084" s="17">
        <f>IF(A1084="COMPOSICAO",VLOOKUP("TOTAL - "&amp;B1084,COMPOSICAO_AUX_2!$A:$J,10,FALSE),VLOOKUP(B1084,I!$A:$D,4,FALSE))</f>
        <v>10.6</v>
      </c>
      <c r="J1084" s="80">
        <f t="shared" si="53"/>
        <v>0.84</v>
      </c>
      <c r="K1084" s="81"/>
    </row>
    <row r="1085" spans="1:13" ht="45" customHeight="1" x14ac:dyDescent="0.25">
      <c r="A1085" s="16" t="s">
        <v>306</v>
      </c>
      <c r="B1085" s="20">
        <v>39017</v>
      </c>
      <c r="C1085" s="77" t="str">
        <f>VLOOKUP(B1085,IF(A1085="COMPOSICAO",S!$A:$D,I!$A:$D),2,FALSE)</f>
        <v>ESPACADOR / DISTANCIADOR CIRCULAR COM ENTRADA LATERAL, EM PLASTICO, PARA VERGALHAO *4,2 A 12,5* MM, COBRIMENTO 20 MM</v>
      </c>
      <c r="D1085" s="77"/>
      <c r="E1085" s="77"/>
      <c r="F1085" s="77"/>
      <c r="G1085" s="16" t="str">
        <f>VLOOKUP(B1085,IF(A1085="COMPOSICAO",S!$A:$D,I!$A:$D),3,FALSE)</f>
        <v>UN</v>
      </c>
      <c r="H1085" s="17">
        <v>0.4</v>
      </c>
      <c r="I1085" s="17">
        <f>IF(A1085="COMPOSICAO",VLOOKUP("TOTAL - "&amp;B1085,COMPOSICAO_AUX_2!$A:$J,10,FALSE),VLOOKUP(B1085,I!$A:$D,4,FALSE))</f>
        <v>0.21</v>
      </c>
      <c r="J1085" s="80">
        <f t="shared" si="53"/>
        <v>0.08</v>
      </c>
      <c r="K1085" s="81"/>
    </row>
    <row r="1086" spans="1:13" ht="45" customHeight="1" x14ac:dyDescent="0.25">
      <c r="A1086" s="16" t="s">
        <v>306</v>
      </c>
      <c r="B1086" s="20">
        <v>39315</v>
      </c>
      <c r="C1086" s="77" t="str">
        <f>VLOOKUP(B1086,IF(A1086="COMPOSICAO",S!$A:$D,I!$A:$D),2,FALSE)</f>
        <v>ESPACADOR / DISTANCIADOR TIPO GARRA DUPLA, EM PLASTICO, COBRIMENTO *20* MM, PARA FERRAGENS DE LAJES E FUNDO DE VIGAS</v>
      </c>
      <c r="D1086" s="77"/>
      <c r="E1086" s="77"/>
      <c r="F1086" s="77"/>
      <c r="G1086" s="16" t="str">
        <f>VLOOKUP(B1086,IF(A1086="COMPOSICAO",S!$A:$D,I!$A:$D),3,FALSE)</f>
        <v>UN</v>
      </c>
      <c r="H1086" s="17">
        <v>0.4</v>
      </c>
      <c r="I1086" s="17">
        <f>IF(A1086="COMPOSICAO",VLOOKUP("TOTAL - "&amp;B1086,COMPOSICAO_AUX_2!$A:$J,10,FALSE),VLOOKUP(B1086,I!$A:$D,4,FALSE))</f>
        <v>0.35</v>
      </c>
      <c r="J1086" s="80">
        <f t="shared" si="53"/>
        <v>0.14000000000000001</v>
      </c>
      <c r="K1086" s="81"/>
    </row>
    <row r="1087" spans="1:13" ht="30" customHeight="1" x14ac:dyDescent="0.25">
      <c r="A1087" s="16" t="s">
        <v>306</v>
      </c>
      <c r="B1087" s="20">
        <v>43132</v>
      </c>
      <c r="C1087" s="77" t="str">
        <f>VLOOKUP(B1087,IF(A1087="COMPOSICAO",S!$A:$D,I!$A:$D),2,FALSE)</f>
        <v>ARAME RECOZIDO 16 BWG, D = 1,65 MM (0,016 KG/M) OU 18 BWG, D = 1,25 MM (0,01 KG/M)</v>
      </c>
      <c r="D1087" s="77"/>
      <c r="E1087" s="77"/>
      <c r="F1087" s="77"/>
      <c r="G1087" s="16" t="str">
        <f>VLOOKUP(B1087,IF(A1087="COMPOSICAO",S!$A:$D,I!$A:$D),3,FALSE)</f>
        <v>KG</v>
      </c>
      <c r="H1087" s="17">
        <v>0.02</v>
      </c>
      <c r="I1087" s="17">
        <f>IF(A1087="COMPOSICAO",VLOOKUP("TOTAL - "&amp;B1087,COMPOSICAO_AUX_2!$A:$J,10,FALSE),VLOOKUP(B1087,I!$A:$D,4,FALSE))</f>
        <v>22.75</v>
      </c>
      <c r="J1087" s="80">
        <f t="shared" si="53"/>
        <v>0.45</v>
      </c>
      <c r="K1087" s="81"/>
    </row>
    <row r="1088" spans="1:13" ht="15" customHeight="1" x14ac:dyDescent="0.25">
      <c r="A1088" s="16" t="s">
        <v>302</v>
      </c>
      <c r="B1088" s="16" t="s">
        <v>319</v>
      </c>
      <c r="C1088" s="77" t="str">
        <f>VLOOKUP(B1088,IF(A1088="COMPOSICAO",S!$A:$D,I!$A:$D),2,FALSE)</f>
        <v>ENCARGOS COMPLEMENTARES - SERVENTE</v>
      </c>
      <c r="D1088" s="77"/>
      <c r="E1088" s="77"/>
      <c r="F1088" s="77"/>
      <c r="G1088" s="16" t="str">
        <f>VLOOKUP(B1088,IF(A1088="COMPOSICAO",S!$A:$D,I!$A:$D),3,FALSE)</f>
        <v>H</v>
      </c>
      <c r="H1088" s="17">
        <v>0.08</v>
      </c>
      <c r="I1088" s="17">
        <f>IF(A1088="COMPOSICAO",VLOOKUP("TOTAL - "&amp;B1088,COMPOSICAO_AUX_2!$A:$J,10,FALSE),VLOOKUP(B1088,I!$A:$D,4,FALSE))</f>
        <v>2.9100000000000006</v>
      </c>
      <c r="J1088" s="80">
        <f t="shared" si="53"/>
        <v>0.23</v>
      </c>
      <c r="K1088" s="81"/>
    </row>
    <row r="1089" spans="1:13" ht="15" customHeight="1" x14ac:dyDescent="0.25">
      <c r="A1089" s="16" t="s">
        <v>302</v>
      </c>
      <c r="B1089" s="16" t="s">
        <v>674</v>
      </c>
      <c r="C1089" s="77" t="str">
        <f>VLOOKUP(B1089,IF(A1089="COMPOSICAO",S!$A:$D,I!$A:$D),2,FALSE)</f>
        <v>ENCARGOS COMPLEMENTARES - ARMADOR</v>
      </c>
      <c r="D1089" s="77"/>
      <c r="E1089" s="77"/>
      <c r="F1089" s="77"/>
      <c r="G1089" s="16" t="str">
        <f>VLOOKUP(B1089,IF(A1089="COMPOSICAO",S!$A:$D,I!$A:$D),3,FALSE)</f>
        <v>H</v>
      </c>
      <c r="H1089" s="17">
        <v>0.08</v>
      </c>
      <c r="I1089" s="17">
        <f>IF(A1089="COMPOSICAO",VLOOKUP("TOTAL - "&amp;B1089,COMPOSICAO_AUX_2!$A:$J,10,FALSE),VLOOKUP(B1089,I!$A:$D,4,FALSE))</f>
        <v>2.7800000000000002</v>
      </c>
      <c r="J1089" s="80">
        <f t="shared" si="53"/>
        <v>0.22</v>
      </c>
      <c r="K1089" s="81"/>
    </row>
    <row r="1090" spans="1:13" ht="15" customHeight="1" x14ac:dyDescent="0.25">
      <c r="A1090" s="23" t="s">
        <v>675</v>
      </c>
      <c r="B1090" s="24"/>
      <c r="C1090" s="24"/>
      <c r="D1090" s="24"/>
      <c r="E1090" s="24"/>
      <c r="F1090" s="24"/>
      <c r="G1090" s="25"/>
      <c r="H1090" s="26"/>
      <c r="I1090" s="27"/>
      <c r="J1090" s="80">
        <f>SUM(J1081:K1089)</f>
        <v>14.66</v>
      </c>
      <c r="K1090" s="81"/>
    </row>
    <row r="1091" spans="1:13" ht="15" customHeight="1" x14ac:dyDescent="0.25">
      <c r="A1091" s="3"/>
      <c r="B1091" s="3"/>
      <c r="C1091" s="3"/>
      <c r="D1091" s="3"/>
      <c r="E1091" s="3"/>
      <c r="F1091" s="3"/>
      <c r="G1091" s="3"/>
      <c r="H1091" s="3"/>
      <c r="I1091" s="3"/>
      <c r="J1091" s="3"/>
      <c r="K1091" s="3"/>
    </row>
    <row r="1092" spans="1:13" ht="15" customHeight="1" x14ac:dyDescent="0.25">
      <c r="A1092" s="10" t="s">
        <v>295</v>
      </c>
      <c r="B1092" s="10" t="s">
        <v>31</v>
      </c>
      <c r="C1092" s="82" t="s">
        <v>7</v>
      </c>
      <c r="D1092" s="83"/>
      <c r="E1092" s="83"/>
      <c r="F1092" s="83"/>
      <c r="G1092" s="6" t="s">
        <v>32</v>
      </c>
      <c r="H1092" s="6" t="s">
        <v>296</v>
      </c>
      <c r="I1092" s="6" t="s">
        <v>297</v>
      </c>
      <c r="J1092" s="57" t="s">
        <v>9</v>
      </c>
      <c r="K1092" s="58"/>
    </row>
    <row r="1093" spans="1:13" ht="60" customHeight="1" x14ac:dyDescent="0.25">
      <c r="A1093" s="6" t="s">
        <v>11</v>
      </c>
      <c r="B1093" s="6" t="s">
        <v>436</v>
      </c>
      <c r="C1093" s="91" t="str">
        <f>VLOOKUP(B1093,S!$A:$D,2,FALSE)</f>
        <v>ALVENARIA TIJOLO CERÂMICO MACIÇO (5X9X19), ESP = 0,09M (SINGELA), COM ARGAMASSA TRAÇO T5 - 1:2:8 (CIMENTO / CAL / AREIA) C/ JUNTA DE 2,0CM - R1</v>
      </c>
      <c r="D1093" s="91"/>
      <c r="E1093" s="91"/>
      <c r="F1093" s="92"/>
      <c r="G1093" s="6" t="str">
        <f>VLOOKUP(B1093,S!$A:$D,3,FALSE)</f>
        <v>M2</v>
      </c>
      <c r="H1093" s="21"/>
      <c r="I1093" s="21">
        <f>J1100</f>
        <v>76.84</v>
      </c>
      <c r="J1093" s="76"/>
      <c r="K1093" s="72"/>
      <c r="L1093" s="21">
        <f>VLOOKUP(B1093,S!$A:$D,4,FALSE)</f>
        <v>76.16</v>
      </c>
      <c r="M1093" s="6" t="str">
        <f>IF(ROUND((L1093-I1093),2)=0,"OK, confere com a tabela.",IF(ROUND((L1093-I1093),2)&lt;0,"ACIMA ("&amp;TEXT(ROUND(I1093*100/L1093,4),"0,0000")&amp;" %) da tabela.","ABAIXO ("&amp;TEXT(ROUND(I1093*100/L1093,4),"0,0000")&amp;" %) da tabela."))</f>
        <v>ACIMA (100,8929 %) da tabela.</v>
      </c>
    </row>
    <row r="1094" spans="1:13" ht="15" customHeight="1" x14ac:dyDescent="0.25">
      <c r="A1094" s="16" t="s">
        <v>306</v>
      </c>
      <c r="B1094" s="16" t="s">
        <v>676</v>
      </c>
      <c r="C1094" s="77" t="str">
        <f>VLOOKUP(B1094,IF(A1094="COMPOSICAO",S!$A:$D,I!$A:$D),2,FALSE)</f>
        <v>TIJOLO CERÂMICO MACIÇO 5 X 9 X 19CM</v>
      </c>
      <c r="D1094" s="77"/>
      <c r="E1094" s="77"/>
      <c r="F1094" s="77"/>
      <c r="G1094" s="16" t="str">
        <f>VLOOKUP(B1094,IF(A1094="COMPOSICAO",S!$A:$D,I!$A:$D),3,FALSE)</f>
        <v>UN</v>
      </c>
      <c r="H1094" s="17">
        <v>68</v>
      </c>
      <c r="I1094" s="17">
        <f>IF(A1094="COMPOSICAO",VLOOKUP("TOTAL - "&amp;B1094,COMPOSICAO_AUX_2!$A:$J,10,FALSE),VLOOKUP(B1094,I!$A:$D,4,FALSE))</f>
        <v>0.35</v>
      </c>
      <c r="J1094" s="80">
        <f t="shared" ref="J1094:J1099" si="54">TRUNC(H1094*I1094,2)</f>
        <v>23.8</v>
      </c>
      <c r="K1094" s="81"/>
    </row>
    <row r="1095" spans="1:13" ht="15" customHeight="1" x14ac:dyDescent="0.25">
      <c r="A1095" s="16" t="s">
        <v>306</v>
      </c>
      <c r="B1095" s="20">
        <v>4750</v>
      </c>
      <c r="C1095" s="77" t="str">
        <f>VLOOKUP(B1095,IF(A1095="COMPOSICAO",S!$A:$D,I!$A:$D),2,FALSE)</f>
        <v>PEDREIRO</v>
      </c>
      <c r="D1095" s="77"/>
      <c r="E1095" s="77"/>
      <c r="F1095" s="77"/>
      <c r="G1095" s="16" t="str">
        <f>VLOOKUP(B1095,IF(A1095="COMPOSICAO",S!$A:$D,I!$A:$D),3,FALSE)</f>
        <v>H</v>
      </c>
      <c r="H1095" s="17">
        <v>1.52</v>
      </c>
      <c r="I1095" s="17">
        <f>IF(A1095="COMPOSICAO",VLOOKUP("TOTAL - "&amp;B1095,COMPOSICAO_AUX_2!$A:$J,10,FALSE),VLOOKUP(B1095,I!$A:$D,4,FALSE))</f>
        <v>14.93</v>
      </c>
      <c r="J1095" s="80">
        <f t="shared" si="54"/>
        <v>22.69</v>
      </c>
      <c r="K1095" s="81"/>
    </row>
    <row r="1096" spans="1:13" ht="15" customHeight="1" x14ac:dyDescent="0.25">
      <c r="A1096" s="16" t="s">
        <v>306</v>
      </c>
      <c r="B1096" s="20">
        <v>6111</v>
      </c>
      <c r="C1096" s="77" t="str">
        <f>VLOOKUP(B1096,IF(A1096="COMPOSICAO",S!$A:$D,I!$A:$D),2,FALSE)</f>
        <v>SERVENTE DE OBRAS</v>
      </c>
      <c r="D1096" s="77"/>
      <c r="E1096" s="77"/>
      <c r="F1096" s="77"/>
      <c r="G1096" s="16" t="str">
        <f>VLOOKUP(B1096,IF(A1096="COMPOSICAO",S!$A:$D,I!$A:$D),3,FALSE)</f>
        <v>H</v>
      </c>
      <c r="H1096" s="17">
        <v>0.91</v>
      </c>
      <c r="I1096" s="17">
        <f>IF(A1096="COMPOSICAO",VLOOKUP("TOTAL - "&amp;B1096,COMPOSICAO_AUX_2!$A:$J,10,FALSE),VLOOKUP(B1096,I!$A:$D,4,FALSE))</f>
        <v>10.6</v>
      </c>
      <c r="J1096" s="80">
        <f t="shared" si="54"/>
        <v>9.64</v>
      </c>
      <c r="K1096" s="81"/>
    </row>
    <row r="1097" spans="1:13" ht="75" customHeight="1" x14ac:dyDescent="0.25">
      <c r="A1097" s="16" t="s">
        <v>302</v>
      </c>
      <c r="B1097" s="16" t="s">
        <v>677</v>
      </c>
      <c r="C1097" s="77" t="str">
        <f>VLOOKUP(B1097,IF(A1097="COMPOSICAO",S!$A:$D,I!$A:$D),2,FALSE)</f>
        <v>ARGAMASSA EM VOLUME - CIMENTO, CAL E AREIA TRAÇO T-5 (1:2:8) - 1 SACO CIMENTO 50 KG / 2 SACOS CAL 20 KG / 8 PADIOLAS DE AREIA DIM 0.35 X 0.45 X 0.13 M - CONFECÇÃO MECÂNICA E TRANSPORTE</v>
      </c>
      <c r="D1097" s="77"/>
      <c r="E1097" s="77"/>
      <c r="F1097" s="77"/>
      <c r="G1097" s="16" t="str">
        <f>VLOOKUP(B1097,IF(A1097="COMPOSICAO",S!$A:$D,I!$A:$D),3,FALSE)</f>
        <v>M3</v>
      </c>
      <c r="H1097" s="30">
        <v>3.2000000000000001E-2</v>
      </c>
      <c r="I1097" s="17">
        <f>IF(A1097="COMPOSICAO",VLOOKUP("TOTAL - "&amp;B1097,COMPOSICAO_AUX_2!$A:$J,10,FALSE),VLOOKUP(B1097,I!$A:$D,4,FALSE))</f>
        <v>431.93999999999994</v>
      </c>
      <c r="J1097" s="80">
        <f t="shared" si="54"/>
        <v>13.82</v>
      </c>
      <c r="K1097" s="81"/>
    </row>
    <row r="1098" spans="1:13" ht="15" customHeight="1" x14ac:dyDescent="0.25">
      <c r="A1098" s="16" t="s">
        <v>302</v>
      </c>
      <c r="B1098" s="16" t="s">
        <v>319</v>
      </c>
      <c r="C1098" s="77" t="str">
        <f>VLOOKUP(B1098,IF(A1098="COMPOSICAO",S!$A:$D,I!$A:$D),2,FALSE)</f>
        <v>ENCARGOS COMPLEMENTARES - SERVENTE</v>
      </c>
      <c r="D1098" s="77"/>
      <c r="E1098" s="77"/>
      <c r="F1098" s="77"/>
      <c r="G1098" s="16" t="str">
        <f>VLOOKUP(B1098,IF(A1098="COMPOSICAO",S!$A:$D,I!$A:$D),3,FALSE)</f>
        <v>H</v>
      </c>
      <c r="H1098" s="17">
        <v>0.91</v>
      </c>
      <c r="I1098" s="17">
        <f>IF(A1098="COMPOSICAO",VLOOKUP("TOTAL - "&amp;B1098,COMPOSICAO_AUX_2!$A:$J,10,FALSE),VLOOKUP(B1098,I!$A:$D,4,FALSE))</f>
        <v>2.9100000000000006</v>
      </c>
      <c r="J1098" s="80">
        <f t="shared" si="54"/>
        <v>2.64</v>
      </c>
      <c r="K1098" s="81"/>
    </row>
    <row r="1099" spans="1:13" ht="15" customHeight="1" x14ac:dyDescent="0.25">
      <c r="A1099" s="16" t="s">
        <v>302</v>
      </c>
      <c r="B1099" s="16" t="s">
        <v>383</v>
      </c>
      <c r="C1099" s="77" t="str">
        <f>VLOOKUP(B1099,IF(A1099="COMPOSICAO",S!$A:$D,I!$A:$D),2,FALSE)</f>
        <v>ENCARGOS COMPLEMENTARES - PEDREIRO</v>
      </c>
      <c r="D1099" s="77"/>
      <c r="E1099" s="77"/>
      <c r="F1099" s="77"/>
      <c r="G1099" s="16" t="str">
        <f>VLOOKUP(B1099,IF(A1099="COMPOSICAO",S!$A:$D,I!$A:$D),3,FALSE)</f>
        <v>H</v>
      </c>
      <c r="H1099" s="17">
        <v>1.52</v>
      </c>
      <c r="I1099" s="17">
        <f>IF(A1099="COMPOSICAO",VLOOKUP("TOTAL - "&amp;B1099,COMPOSICAO_AUX_2!$A:$J,10,FALSE),VLOOKUP(B1099,I!$A:$D,4,FALSE))</f>
        <v>2.8000000000000003</v>
      </c>
      <c r="J1099" s="80">
        <f t="shared" si="54"/>
        <v>4.25</v>
      </c>
      <c r="K1099" s="81"/>
    </row>
    <row r="1100" spans="1:13" ht="15" customHeight="1" x14ac:dyDescent="0.25">
      <c r="A1100" s="23" t="s">
        <v>678</v>
      </c>
      <c r="B1100" s="24"/>
      <c r="C1100" s="24"/>
      <c r="D1100" s="24"/>
      <c r="E1100" s="24"/>
      <c r="F1100" s="24"/>
      <c r="G1100" s="25"/>
      <c r="H1100" s="26"/>
      <c r="I1100" s="27"/>
      <c r="J1100" s="80">
        <f>SUM(J1093:K1099)</f>
        <v>76.84</v>
      </c>
      <c r="K1100" s="81"/>
    </row>
    <row r="1101" spans="1:13" ht="15" customHeight="1" x14ac:dyDescent="0.25">
      <c r="A1101" s="3"/>
      <c r="B1101" s="3"/>
      <c r="C1101" s="3"/>
      <c r="D1101" s="3"/>
      <c r="E1101" s="3"/>
      <c r="F1101" s="3"/>
      <c r="G1101" s="3"/>
      <c r="H1101" s="3"/>
      <c r="I1101" s="3"/>
      <c r="J1101" s="3"/>
      <c r="K1101" s="3"/>
    </row>
    <row r="1102" spans="1:13" ht="15" customHeight="1" x14ac:dyDescent="0.25">
      <c r="A1102" s="10" t="s">
        <v>295</v>
      </c>
      <c r="B1102" s="10" t="s">
        <v>31</v>
      </c>
      <c r="C1102" s="82" t="s">
        <v>7</v>
      </c>
      <c r="D1102" s="83"/>
      <c r="E1102" s="83"/>
      <c r="F1102" s="83"/>
      <c r="G1102" s="6" t="s">
        <v>32</v>
      </c>
      <c r="H1102" s="6" t="s">
        <v>296</v>
      </c>
      <c r="I1102" s="6" t="s">
        <v>297</v>
      </c>
      <c r="J1102" s="57" t="s">
        <v>9</v>
      </c>
      <c r="K1102" s="58"/>
    </row>
    <row r="1103" spans="1:13" ht="45" customHeight="1" x14ac:dyDescent="0.25">
      <c r="A1103" s="6" t="s">
        <v>11</v>
      </c>
      <c r="B1103" s="6" t="s">
        <v>437</v>
      </c>
      <c r="C1103" s="91" t="str">
        <f>VLOOKUP(B1103,S!$A:$D,2,FALSE)</f>
        <v>REBOCO OU EMBOÇO EXTERNO, DE PAREDE, COM ARGAMASSA TRAÇO T5 - 1:2:8 (CIMENTO / CAL / AREIA), ESPESSURA 2,0 CM</v>
      </c>
      <c r="D1103" s="91"/>
      <c r="E1103" s="91"/>
      <c r="F1103" s="92"/>
      <c r="G1103" s="6" t="str">
        <f>VLOOKUP(B1103,S!$A:$D,3,FALSE)</f>
        <v>M2</v>
      </c>
      <c r="H1103" s="21"/>
      <c r="I1103" s="21">
        <f>J1109</f>
        <v>27.359999999999996</v>
      </c>
      <c r="J1103" s="76"/>
      <c r="K1103" s="72"/>
      <c r="L1103" s="21">
        <f>VLOOKUP(B1103,S!$A:$D,4,FALSE)</f>
        <v>27.23</v>
      </c>
      <c r="M1103" s="6" t="str">
        <f>IF(ROUND((L1103-I1103),2)=0,"OK, confere com a tabela.",IF(ROUND((L1103-I1103),2)&lt;0,"ACIMA ("&amp;TEXT(ROUND(I1103*100/L1103,4),"0,0000")&amp;" %) da tabela.","ABAIXO ("&amp;TEXT(ROUND(I1103*100/L1103,4),"0,0000")&amp;" %) da tabela."))</f>
        <v>ACIMA (100,4774 %) da tabela.</v>
      </c>
    </row>
    <row r="1104" spans="1:13" ht="15" customHeight="1" x14ac:dyDescent="0.25">
      <c r="A1104" s="16" t="s">
        <v>306</v>
      </c>
      <c r="B1104" s="20">
        <v>4750</v>
      </c>
      <c r="C1104" s="77" t="str">
        <f>VLOOKUP(B1104,IF(A1104="COMPOSICAO",S!$A:$D,I!$A:$D),2,FALSE)</f>
        <v>PEDREIRO</v>
      </c>
      <c r="D1104" s="77"/>
      <c r="E1104" s="77"/>
      <c r="F1104" s="77"/>
      <c r="G1104" s="16" t="str">
        <f>VLOOKUP(B1104,IF(A1104="COMPOSICAO",S!$A:$D,I!$A:$D),3,FALSE)</f>
        <v>H</v>
      </c>
      <c r="H1104" s="17">
        <v>0.6</v>
      </c>
      <c r="I1104" s="17">
        <f>IF(A1104="COMPOSICAO",VLOOKUP("TOTAL - "&amp;B1104,COMPOSICAO_AUX_2!$A:$J,10,FALSE),VLOOKUP(B1104,I!$A:$D,4,FALSE))</f>
        <v>14.93</v>
      </c>
      <c r="J1104" s="80">
        <f>TRUNC(H1104*I1104,2)</f>
        <v>8.9499999999999993</v>
      </c>
      <c r="K1104" s="81"/>
    </row>
    <row r="1105" spans="1:13" ht="15" customHeight="1" x14ac:dyDescent="0.25">
      <c r="A1105" s="16" t="s">
        <v>306</v>
      </c>
      <c r="B1105" s="20">
        <v>6111</v>
      </c>
      <c r="C1105" s="77" t="str">
        <f>VLOOKUP(B1105,IF(A1105="COMPOSICAO",S!$A:$D,I!$A:$D),2,FALSE)</f>
        <v>SERVENTE DE OBRAS</v>
      </c>
      <c r="D1105" s="77"/>
      <c r="E1105" s="77"/>
      <c r="F1105" s="77"/>
      <c r="G1105" s="16" t="str">
        <f>VLOOKUP(B1105,IF(A1105="COMPOSICAO",S!$A:$D,I!$A:$D),3,FALSE)</f>
        <v>H</v>
      </c>
      <c r="H1105" s="17">
        <v>0.6</v>
      </c>
      <c r="I1105" s="17">
        <f>IF(A1105="COMPOSICAO",VLOOKUP("TOTAL - "&amp;B1105,COMPOSICAO_AUX_2!$A:$J,10,FALSE),VLOOKUP(B1105,I!$A:$D,4,FALSE))</f>
        <v>10.6</v>
      </c>
      <c r="J1105" s="80">
        <f>TRUNC(H1105*I1105,2)</f>
        <v>6.36</v>
      </c>
      <c r="K1105" s="81"/>
    </row>
    <row r="1106" spans="1:13" ht="75" customHeight="1" x14ac:dyDescent="0.25">
      <c r="A1106" s="16" t="s">
        <v>302</v>
      </c>
      <c r="B1106" s="16" t="s">
        <v>677</v>
      </c>
      <c r="C1106" s="77" t="str">
        <f>VLOOKUP(B1106,IF(A1106="COMPOSICAO",S!$A:$D,I!$A:$D),2,FALSE)</f>
        <v>ARGAMASSA EM VOLUME - CIMENTO, CAL E AREIA TRAÇO T-5 (1:2:8) - 1 SACO CIMENTO 50 KG / 2 SACOS CAL 20 KG / 8 PADIOLAS DE AREIA DIM 0.35 X 0.45 X 0.13 M - CONFECÇÃO MECÂNICA E TRANSPORTE</v>
      </c>
      <c r="D1106" s="77"/>
      <c r="E1106" s="77"/>
      <c r="F1106" s="77"/>
      <c r="G1106" s="16" t="str">
        <f>VLOOKUP(B1106,IF(A1106="COMPOSICAO",S!$A:$D,I!$A:$D),3,FALSE)</f>
        <v>M3</v>
      </c>
      <c r="H1106" s="17">
        <v>0.02</v>
      </c>
      <c r="I1106" s="17">
        <f>IF(A1106="COMPOSICAO",VLOOKUP("TOTAL - "&amp;B1106,COMPOSICAO_AUX_2!$A:$J,10,FALSE),VLOOKUP(B1106,I!$A:$D,4,FALSE))</f>
        <v>431.93999999999994</v>
      </c>
      <c r="J1106" s="80">
        <f>TRUNC(H1106*I1106,2)</f>
        <v>8.6300000000000008</v>
      </c>
      <c r="K1106" s="81"/>
    </row>
    <row r="1107" spans="1:13" ht="15" customHeight="1" x14ac:dyDescent="0.25">
      <c r="A1107" s="16" t="s">
        <v>302</v>
      </c>
      <c r="B1107" s="16" t="s">
        <v>319</v>
      </c>
      <c r="C1107" s="77" t="str">
        <f>VLOOKUP(B1107,IF(A1107="COMPOSICAO",S!$A:$D,I!$A:$D),2,FALSE)</f>
        <v>ENCARGOS COMPLEMENTARES - SERVENTE</v>
      </c>
      <c r="D1107" s="77"/>
      <c r="E1107" s="77"/>
      <c r="F1107" s="77"/>
      <c r="G1107" s="16" t="str">
        <f>VLOOKUP(B1107,IF(A1107="COMPOSICAO",S!$A:$D,I!$A:$D),3,FALSE)</f>
        <v>H</v>
      </c>
      <c r="H1107" s="17">
        <v>0.6</v>
      </c>
      <c r="I1107" s="17">
        <f>IF(A1107="COMPOSICAO",VLOOKUP("TOTAL - "&amp;B1107,COMPOSICAO_AUX_2!$A:$J,10,FALSE),VLOOKUP(B1107,I!$A:$D,4,FALSE))</f>
        <v>2.9100000000000006</v>
      </c>
      <c r="J1107" s="80">
        <f>TRUNC(H1107*I1107,2)</f>
        <v>1.74</v>
      </c>
      <c r="K1107" s="81"/>
    </row>
    <row r="1108" spans="1:13" ht="15" customHeight="1" x14ac:dyDescent="0.25">
      <c r="A1108" s="16" t="s">
        <v>302</v>
      </c>
      <c r="B1108" s="16" t="s">
        <v>383</v>
      </c>
      <c r="C1108" s="77" t="str">
        <f>VLOOKUP(B1108,IF(A1108="COMPOSICAO",S!$A:$D,I!$A:$D),2,FALSE)</f>
        <v>ENCARGOS COMPLEMENTARES - PEDREIRO</v>
      </c>
      <c r="D1108" s="77"/>
      <c r="E1108" s="77"/>
      <c r="F1108" s="77"/>
      <c r="G1108" s="16" t="str">
        <f>VLOOKUP(B1108,IF(A1108="COMPOSICAO",S!$A:$D,I!$A:$D),3,FALSE)</f>
        <v>H</v>
      </c>
      <c r="H1108" s="17">
        <v>0.6</v>
      </c>
      <c r="I1108" s="17">
        <f>IF(A1108="COMPOSICAO",VLOOKUP("TOTAL - "&amp;B1108,COMPOSICAO_AUX_2!$A:$J,10,FALSE),VLOOKUP(B1108,I!$A:$D,4,FALSE))</f>
        <v>2.8000000000000003</v>
      </c>
      <c r="J1108" s="80">
        <f>TRUNC(H1108*I1108,2)</f>
        <v>1.68</v>
      </c>
      <c r="K1108" s="81"/>
    </row>
    <row r="1109" spans="1:13" ht="15" customHeight="1" x14ac:dyDescent="0.25">
      <c r="A1109" s="23" t="s">
        <v>679</v>
      </c>
      <c r="B1109" s="24"/>
      <c r="C1109" s="24"/>
      <c r="D1109" s="24"/>
      <c r="E1109" s="24"/>
      <c r="F1109" s="24"/>
      <c r="G1109" s="25"/>
      <c r="H1109" s="26"/>
      <c r="I1109" s="27"/>
      <c r="J1109" s="80">
        <f>SUM(J1103:K1108)</f>
        <v>27.359999999999996</v>
      </c>
      <c r="K1109" s="81"/>
    </row>
    <row r="1110" spans="1:13" ht="15" customHeight="1" x14ac:dyDescent="0.25">
      <c r="A1110" s="3"/>
      <c r="B1110" s="3"/>
      <c r="C1110" s="3"/>
      <c r="D1110" s="3"/>
      <c r="E1110" s="3"/>
      <c r="F1110" s="3"/>
      <c r="G1110" s="3"/>
      <c r="H1110" s="3"/>
      <c r="I1110" s="3"/>
      <c r="J1110" s="3"/>
      <c r="K1110" s="3"/>
    </row>
    <row r="1111" spans="1:13" ht="15" customHeight="1" x14ac:dyDescent="0.25">
      <c r="A1111" s="10" t="s">
        <v>295</v>
      </c>
      <c r="B1111" s="10" t="s">
        <v>31</v>
      </c>
      <c r="C1111" s="82" t="s">
        <v>7</v>
      </c>
      <c r="D1111" s="83"/>
      <c r="E1111" s="83"/>
      <c r="F1111" s="83"/>
      <c r="G1111" s="6" t="s">
        <v>32</v>
      </c>
      <c r="H1111" s="6" t="s">
        <v>296</v>
      </c>
      <c r="I1111" s="6" t="s">
        <v>297</v>
      </c>
      <c r="J1111" s="57" t="s">
        <v>9</v>
      </c>
      <c r="K1111" s="58"/>
    </row>
    <row r="1112" spans="1:13" ht="30" customHeight="1" x14ac:dyDescent="0.25">
      <c r="A1112" s="6" t="s">
        <v>11</v>
      </c>
      <c r="B1112" s="6" t="s">
        <v>438</v>
      </c>
      <c r="C1112" s="91" t="str">
        <f>VLOOKUP(B1112,S!$A:$D,2,FALSE)</f>
        <v>CHAPISCO EM PAREDE COM ARGAMASSA TRAÇO T1 - 1:3 (CIMENTO / AREIA) - REVISADO 08/2015</v>
      </c>
      <c r="D1112" s="91"/>
      <c r="E1112" s="91"/>
      <c r="F1112" s="92"/>
      <c r="G1112" s="6" t="str">
        <f>VLOOKUP(B1112,S!$A:$D,3,FALSE)</f>
        <v>M2</v>
      </c>
      <c r="H1112" s="21"/>
      <c r="I1112" s="21">
        <f>J1118</f>
        <v>5.26</v>
      </c>
      <c r="J1112" s="76"/>
      <c r="K1112" s="72"/>
      <c r="L1112" s="21">
        <f>VLOOKUP(B1112,S!$A:$D,4,FALSE)</f>
        <v>5.36</v>
      </c>
      <c r="M1112" s="6" t="str">
        <f>IF(ROUND((L1112-I1112),2)=0,"OK, confere com a tabela.",IF(ROUND((L1112-I1112),2)&lt;0,"ACIMA ("&amp;TEXT(ROUND(I1112*100/L1112,4),"0,0000")&amp;" %) da tabela.","ABAIXO ("&amp;TEXT(ROUND(I1112*100/L1112,4),"0,0000")&amp;" %) da tabela."))</f>
        <v>ABAIXO (98,1343 %) da tabela.</v>
      </c>
    </row>
    <row r="1113" spans="1:13" ht="15" customHeight="1" x14ac:dyDescent="0.25">
      <c r="A1113" s="16" t="s">
        <v>306</v>
      </c>
      <c r="B1113" s="20">
        <v>4750</v>
      </c>
      <c r="C1113" s="77" t="str">
        <f>VLOOKUP(B1113,IF(A1113="COMPOSICAO",S!$A:$D,I!$A:$D),2,FALSE)</f>
        <v>PEDREIRO</v>
      </c>
      <c r="D1113" s="77"/>
      <c r="E1113" s="77"/>
      <c r="F1113" s="77"/>
      <c r="G1113" s="16" t="str">
        <f>VLOOKUP(B1113,IF(A1113="COMPOSICAO",S!$A:$D,I!$A:$D),3,FALSE)</f>
        <v>H</v>
      </c>
      <c r="H1113" s="17">
        <v>0.1</v>
      </c>
      <c r="I1113" s="17">
        <f>IF(A1113="COMPOSICAO",VLOOKUP("TOTAL - "&amp;B1113,COMPOSICAO_AUX_2!$A:$J,10,FALSE),VLOOKUP(B1113,I!$A:$D,4,FALSE))</f>
        <v>14.93</v>
      </c>
      <c r="J1113" s="80">
        <f>TRUNC(H1113*I1113,2)</f>
        <v>1.49</v>
      </c>
      <c r="K1113" s="81"/>
    </row>
    <row r="1114" spans="1:13" ht="15" customHeight="1" x14ac:dyDescent="0.25">
      <c r="A1114" s="16" t="s">
        <v>306</v>
      </c>
      <c r="B1114" s="20">
        <v>6111</v>
      </c>
      <c r="C1114" s="77" t="str">
        <f>VLOOKUP(B1114,IF(A1114="COMPOSICAO",S!$A:$D,I!$A:$D),2,FALSE)</f>
        <v>SERVENTE DE OBRAS</v>
      </c>
      <c r="D1114" s="77"/>
      <c r="E1114" s="77"/>
      <c r="F1114" s="77"/>
      <c r="G1114" s="16" t="str">
        <f>VLOOKUP(B1114,IF(A1114="COMPOSICAO",S!$A:$D,I!$A:$D),3,FALSE)</f>
        <v>H</v>
      </c>
      <c r="H1114" s="17">
        <v>0.1</v>
      </c>
      <c r="I1114" s="17">
        <f>IF(A1114="COMPOSICAO",VLOOKUP("TOTAL - "&amp;B1114,COMPOSICAO_AUX_2!$A:$J,10,FALSE),VLOOKUP(B1114,I!$A:$D,4,FALSE))</f>
        <v>10.6</v>
      </c>
      <c r="J1114" s="80">
        <f>TRUNC(H1114*I1114,2)</f>
        <v>1.06</v>
      </c>
      <c r="K1114" s="81"/>
    </row>
    <row r="1115" spans="1:13" ht="60" customHeight="1" x14ac:dyDescent="0.25">
      <c r="A1115" s="16" t="s">
        <v>302</v>
      </c>
      <c r="B1115" s="16" t="s">
        <v>395</v>
      </c>
      <c r="C1115" s="77" t="str">
        <f>VLOOKUP(B1115,IF(A1115="COMPOSICAO",S!$A:$D,I!$A:$D),2,FALSE)</f>
        <v>ARGAMASSA CIMENTO E AREIA TRAÇO T-1 (1:3) - 1 SACO CIMENTO 50KG / 3 PADIOLAS AREIA DIM. 0.35 X 0.45 X 0.23 M - CONFECÇÃO MECÂNICA E TRANSPORTE</v>
      </c>
      <c r="D1115" s="77"/>
      <c r="E1115" s="77"/>
      <c r="F1115" s="77"/>
      <c r="G1115" s="16" t="str">
        <f>VLOOKUP(B1115,IF(A1115="COMPOSICAO",S!$A:$D,I!$A:$D),3,FALSE)</f>
        <v>M3</v>
      </c>
      <c r="H1115" s="30">
        <v>5.0000000000000001E-3</v>
      </c>
      <c r="I1115" s="17">
        <f>IF(A1115="COMPOSICAO",VLOOKUP("TOTAL - "&amp;B1115,COMPOSICAO_AUX_2!$A:$J,10,FALSE),VLOOKUP(B1115,I!$A:$D,4,FALSE))</f>
        <v>428.9</v>
      </c>
      <c r="J1115" s="80">
        <f>TRUNC(H1115*I1115,2)</f>
        <v>2.14</v>
      </c>
      <c r="K1115" s="81"/>
    </row>
    <row r="1116" spans="1:13" ht="15" customHeight="1" x14ac:dyDescent="0.25">
      <c r="A1116" s="16" t="s">
        <v>302</v>
      </c>
      <c r="B1116" s="16" t="s">
        <v>319</v>
      </c>
      <c r="C1116" s="77" t="str">
        <f>VLOOKUP(B1116,IF(A1116="COMPOSICAO",S!$A:$D,I!$A:$D),2,FALSE)</f>
        <v>ENCARGOS COMPLEMENTARES - SERVENTE</v>
      </c>
      <c r="D1116" s="77"/>
      <c r="E1116" s="77"/>
      <c r="F1116" s="77"/>
      <c r="G1116" s="16" t="str">
        <f>VLOOKUP(B1116,IF(A1116="COMPOSICAO",S!$A:$D,I!$A:$D),3,FALSE)</f>
        <v>H</v>
      </c>
      <c r="H1116" s="17">
        <v>0.1</v>
      </c>
      <c r="I1116" s="17">
        <f>IF(A1116="COMPOSICAO",VLOOKUP("TOTAL - "&amp;B1116,COMPOSICAO_AUX_2!$A:$J,10,FALSE),VLOOKUP(B1116,I!$A:$D,4,FALSE))</f>
        <v>2.9100000000000006</v>
      </c>
      <c r="J1116" s="80">
        <f>TRUNC(H1116*I1116,2)</f>
        <v>0.28999999999999998</v>
      </c>
      <c r="K1116" s="81"/>
    </row>
    <row r="1117" spans="1:13" ht="15" customHeight="1" x14ac:dyDescent="0.25">
      <c r="A1117" s="16" t="s">
        <v>302</v>
      </c>
      <c r="B1117" s="16" t="s">
        <v>383</v>
      </c>
      <c r="C1117" s="77" t="str">
        <f>VLOOKUP(B1117,IF(A1117="COMPOSICAO",S!$A:$D,I!$A:$D),2,FALSE)</f>
        <v>ENCARGOS COMPLEMENTARES - PEDREIRO</v>
      </c>
      <c r="D1117" s="77"/>
      <c r="E1117" s="77"/>
      <c r="F1117" s="77"/>
      <c r="G1117" s="16" t="str">
        <f>VLOOKUP(B1117,IF(A1117="COMPOSICAO",S!$A:$D,I!$A:$D),3,FALSE)</f>
        <v>H</v>
      </c>
      <c r="H1117" s="17">
        <v>0.1</v>
      </c>
      <c r="I1117" s="17">
        <f>IF(A1117="COMPOSICAO",VLOOKUP("TOTAL - "&amp;B1117,COMPOSICAO_AUX_2!$A:$J,10,FALSE),VLOOKUP(B1117,I!$A:$D,4,FALSE))</f>
        <v>2.8000000000000003</v>
      </c>
      <c r="J1117" s="80">
        <f>TRUNC(H1117*I1117,2)</f>
        <v>0.28000000000000003</v>
      </c>
      <c r="K1117" s="81"/>
    </row>
    <row r="1118" spans="1:13" ht="15" customHeight="1" x14ac:dyDescent="0.25">
      <c r="A1118" s="23" t="s">
        <v>680</v>
      </c>
      <c r="B1118" s="24"/>
      <c r="C1118" s="24"/>
      <c r="D1118" s="24"/>
      <c r="E1118" s="24"/>
      <c r="F1118" s="24"/>
      <c r="G1118" s="25"/>
      <c r="H1118" s="26"/>
      <c r="I1118" s="27"/>
      <c r="J1118" s="80">
        <f>SUM(J1112:K1117)</f>
        <v>5.26</v>
      </c>
      <c r="K1118" s="81"/>
    </row>
    <row r="1119" spans="1:13" ht="15" customHeight="1" x14ac:dyDescent="0.25">
      <c r="A1119" s="3"/>
      <c r="B1119" s="3"/>
      <c r="C1119" s="3"/>
      <c r="D1119" s="3"/>
      <c r="E1119" s="3"/>
      <c r="F1119" s="3"/>
      <c r="G1119" s="3"/>
      <c r="H1119" s="3"/>
      <c r="I1119" s="3"/>
      <c r="J1119" s="3"/>
      <c r="K1119" s="3"/>
    </row>
    <row r="1120" spans="1:13" ht="15" customHeight="1" x14ac:dyDescent="0.25">
      <c r="A1120" s="10" t="s">
        <v>295</v>
      </c>
      <c r="B1120" s="10" t="s">
        <v>31</v>
      </c>
      <c r="C1120" s="82" t="s">
        <v>7</v>
      </c>
      <c r="D1120" s="83"/>
      <c r="E1120" s="83"/>
      <c r="F1120" s="83"/>
      <c r="G1120" s="6" t="s">
        <v>32</v>
      </c>
      <c r="H1120" s="6" t="s">
        <v>296</v>
      </c>
      <c r="I1120" s="6" t="s">
        <v>297</v>
      </c>
      <c r="J1120" s="57" t="s">
        <v>9</v>
      </c>
      <c r="K1120" s="58"/>
    </row>
    <row r="1121" spans="1:13" ht="45" customHeight="1" x14ac:dyDescent="0.25">
      <c r="A1121" s="6" t="s">
        <v>413</v>
      </c>
      <c r="B1121" s="28">
        <v>89714</v>
      </c>
      <c r="C1121" s="91" t="str">
        <f>VLOOKUP(B1121,S!$A:$D,2,FALSE)</f>
        <v>TUBO PVC, SERIE NORMAL, ESGOTO PREDIAL, DN 100 MM, FORNECIDO E INSTALADO EM RAMAL DE DESCARGA OU RAMAL DE ESGOTO SANITÁRIO. AF_12/2014</v>
      </c>
      <c r="D1121" s="91"/>
      <c r="E1121" s="91"/>
      <c r="F1121" s="92"/>
      <c r="G1121" s="6" t="str">
        <f>VLOOKUP(B1121,S!$A:$D,3,FALSE)</f>
        <v>M</v>
      </c>
      <c r="H1121" s="21"/>
      <c r="I1121" s="21">
        <f>J1128</f>
        <v>46.31</v>
      </c>
      <c r="J1121" s="76"/>
      <c r="K1121" s="72"/>
      <c r="L1121" s="21">
        <f>VLOOKUP(B1121,S!$A:$D,4,FALSE)</f>
        <v>46.31</v>
      </c>
      <c r="M1121" s="6" t="str">
        <f>IF(ROUND((L1121-I1121),2)=0,"OK, confere com a tabela.",IF(ROUND((L1121-I1121),2)&lt;0,"ACIMA ("&amp;TEXT(ROUND(I1121*100/L1121,4),"0,0000")&amp;" %) da tabela.","ABAIXO ("&amp;TEXT(ROUND(I1121*100/L1121,4),"0,0000")&amp;" %) da tabela."))</f>
        <v>OK, confere com a tabela.</v>
      </c>
    </row>
    <row r="1122" spans="1:13" ht="15" customHeight="1" x14ac:dyDescent="0.25">
      <c r="A1122" s="16" t="s">
        <v>306</v>
      </c>
      <c r="B1122" s="20">
        <v>122</v>
      </c>
      <c r="C1122" s="77" t="str">
        <f>VLOOKUP(B1122,IF(A1122="COMPOSICAO",S!$A:$D,I!$A:$D),2,FALSE)</f>
        <v>ADESIVO PLASTICO PARA PVC, FRASCO COM 850 GR</v>
      </c>
      <c r="D1122" s="77"/>
      <c r="E1122" s="77"/>
      <c r="F1122" s="77"/>
      <c r="G1122" s="16" t="str">
        <f>VLOOKUP(B1122,IF(A1122="COMPOSICAO",S!$A:$D,I!$A:$D),3,FALSE)</f>
        <v>UN</v>
      </c>
      <c r="H1122" s="29">
        <v>3.6299999999999999E-2</v>
      </c>
      <c r="I1122" s="17">
        <f>IF(A1122="COMPOSICAO",VLOOKUP("TOTAL - "&amp;B1122,COMPOSICAO_AUX_2!$A:$J,10,FALSE),VLOOKUP(B1122,I!$A:$D,4,FALSE))</f>
        <v>65.489999999999995</v>
      </c>
      <c r="J1122" s="80">
        <f t="shared" ref="J1122:J1127" si="55">TRUNC(H1122*I1122,2)</f>
        <v>2.37</v>
      </c>
      <c r="K1122" s="81"/>
    </row>
    <row r="1123" spans="1:13" ht="30" customHeight="1" x14ac:dyDescent="0.25">
      <c r="A1123" s="16" t="s">
        <v>306</v>
      </c>
      <c r="B1123" s="20">
        <v>9836</v>
      </c>
      <c r="C1123" s="77" t="str">
        <f>VLOOKUP(B1123,IF(A1123="COMPOSICAO",S!$A:$D,I!$A:$D),2,FALSE)</f>
        <v>TUBO PVC  SERIE NORMAL, DN 100 MM, PARA ESGOTO  PREDIAL (NBR 5688)</v>
      </c>
      <c r="D1123" s="77"/>
      <c r="E1123" s="77"/>
      <c r="F1123" s="77"/>
      <c r="G1123" s="16" t="str">
        <f>VLOOKUP(B1123,IF(A1123="COMPOSICAO",S!$A:$D,I!$A:$D),3,FALSE)</f>
        <v>M</v>
      </c>
      <c r="H1123" s="17">
        <v>1.05</v>
      </c>
      <c r="I1123" s="17">
        <f>IF(A1123="COMPOSICAO",VLOOKUP("TOTAL - "&amp;B1123,COMPOSICAO_AUX_2!$A:$J,10,FALSE),VLOOKUP(B1123,I!$A:$D,4,FALSE))</f>
        <v>13.98</v>
      </c>
      <c r="J1123" s="80">
        <f t="shared" si="55"/>
        <v>14.67</v>
      </c>
      <c r="K1123" s="81"/>
    </row>
    <row r="1124" spans="1:13" ht="30" customHeight="1" x14ac:dyDescent="0.25">
      <c r="A1124" s="16" t="s">
        <v>306</v>
      </c>
      <c r="B1124" s="20">
        <v>20083</v>
      </c>
      <c r="C1124" s="77" t="str">
        <f>VLOOKUP(B1124,IF(A1124="COMPOSICAO",S!$A:$D,I!$A:$D),2,FALSE)</f>
        <v>SOLUCAO LIMPADORA PARA PVC, FRASCO COM 1000 CM3</v>
      </c>
      <c r="D1124" s="77"/>
      <c r="E1124" s="77"/>
      <c r="F1124" s="77"/>
      <c r="G1124" s="16" t="str">
        <f>VLOOKUP(B1124,IF(A1124="COMPOSICAO",S!$A:$D,I!$A:$D),3,FALSE)</f>
        <v>UN</v>
      </c>
      <c r="H1124" s="29">
        <v>5.9299999999999999E-2</v>
      </c>
      <c r="I1124" s="17">
        <f>IF(A1124="COMPOSICAO",VLOOKUP("TOTAL - "&amp;B1124,COMPOSICAO_AUX_2!$A:$J,10,FALSE),VLOOKUP(B1124,I!$A:$D,4,FALSE))</f>
        <v>56.87</v>
      </c>
      <c r="J1124" s="80">
        <f t="shared" si="55"/>
        <v>3.37</v>
      </c>
      <c r="K1124" s="81"/>
    </row>
    <row r="1125" spans="1:13" ht="15" customHeight="1" x14ac:dyDescent="0.25">
      <c r="A1125" s="16" t="s">
        <v>306</v>
      </c>
      <c r="B1125" s="20">
        <v>38383</v>
      </c>
      <c r="C1125" s="77" t="str">
        <f>VLOOKUP(B1125,IF(A1125="COMPOSICAO",S!$A:$D,I!$A:$D),2,FALSE)</f>
        <v>LIXA D'AGUA EM FOLHA, GRAO 100</v>
      </c>
      <c r="D1125" s="77"/>
      <c r="E1125" s="77"/>
      <c r="F1125" s="77"/>
      <c r="G1125" s="16" t="str">
        <f>VLOOKUP(B1125,IF(A1125="COMPOSICAO",S!$A:$D,I!$A:$D),3,FALSE)</f>
        <v>UN</v>
      </c>
      <c r="H1125" s="30">
        <v>0.247</v>
      </c>
      <c r="I1125" s="17">
        <f>IF(A1125="COMPOSICAO",VLOOKUP("TOTAL - "&amp;B1125,COMPOSICAO_AUX_2!$A:$J,10,FALSE),VLOOKUP(B1125,I!$A:$D,4,FALSE))</f>
        <v>2.06</v>
      </c>
      <c r="J1125" s="80">
        <f t="shared" si="55"/>
        <v>0.5</v>
      </c>
      <c r="K1125" s="81"/>
    </row>
    <row r="1126" spans="1:13" ht="30" customHeight="1" x14ac:dyDescent="0.25">
      <c r="A1126" s="16" t="s">
        <v>302</v>
      </c>
      <c r="B1126" s="20">
        <v>88248</v>
      </c>
      <c r="C1126" s="77" t="str">
        <f>VLOOKUP(B1126,IF(A1126="COMPOSICAO",S!$A:$D,I!$A:$D),2,FALSE)</f>
        <v>AUXILIAR DE ENCANADOR OU BOMBEIRO HIDRÁULICO COM ENCARGOS COMPLEMENTARES</v>
      </c>
      <c r="D1126" s="77"/>
      <c r="E1126" s="77"/>
      <c r="F1126" s="77"/>
      <c r="G1126" s="16" t="str">
        <f>VLOOKUP(B1126,IF(A1126="COMPOSICAO",S!$A:$D,I!$A:$D),3,FALSE)</f>
        <v>H</v>
      </c>
      <c r="H1126" s="17">
        <v>0.74</v>
      </c>
      <c r="I1126" s="17">
        <f>IF(A1126="COMPOSICAO",VLOOKUP("TOTAL - "&amp;B1126,COMPOSICAO_AUX_2!$A:$J,10,FALSE),VLOOKUP(B1126,I!$A:$D,4,FALSE))</f>
        <v>14.96</v>
      </c>
      <c r="J1126" s="80">
        <f t="shared" si="55"/>
        <v>11.07</v>
      </c>
      <c r="K1126" s="81"/>
    </row>
    <row r="1127" spans="1:13" ht="30" customHeight="1" x14ac:dyDescent="0.25">
      <c r="A1127" s="16" t="s">
        <v>302</v>
      </c>
      <c r="B1127" s="20">
        <v>88267</v>
      </c>
      <c r="C1127" s="77" t="str">
        <f>VLOOKUP(B1127,IF(A1127="COMPOSICAO",S!$A:$D,I!$A:$D),2,FALSE)</f>
        <v>ENCANADOR OU BOMBEIRO HIDRÁULICO COM ENCARGOS COMPLEMENTARES</v>
      </c>
      <c r="D1127" s="77"/>
      <c r="E1127" s="77"/>
      <c r="F1127" s="77"/>
      <c r="G1127" s="16" t="str">
        <f>VLOOKUP(B1127,IF(A1127="COMPOSICAO",S!$A:$D,I!$A:$D),3,FALSE)</f>
        <v>H</v>
      </c>
      <c r="H1127" s="17">
        <v>0.74</v>
      </c>
      <c r="I1127" s="17">
        <f>IF(A1127="COMPOSICAO",VLOOKUP("TOTAL - "&amp;B1127,COMPOSICAO_AUX_2!$A:$J,10,FALSE),VLOOKUP(B1127,I!$A:$D,4,FALSE))</f>
        <v>19.37</v>
      </c>
      <c r="J1127" s="80">
        <f t="shared" si="55"/>
        <v>14.33</v>
      </c>
      <c r="K1127" s="81"/>
    </row>
    <row r="1128" spans="1:13" ht="15" customHeight="1" x14ac:dyDescent="0.25">
      <c r="A1128" s="23" t="s">
        <v>681</v>
      </c>
      <c r="B1128" s="24"/>
      <c r="C1128" s="24"/>
      <c r="D1128" s="24"/>
      <c r="E1128" s="24"/>
      <c r="F1128" s="24"/>
      <c r="G1128" s="25"/>
      <c r="H1128" s="26"/>
      <c r="I1128" s="27"/>
      <c r="J1128" s="80">
        <f>SUM(J1121:K1127)</f>
        <v>46.31</v>
      </c>
      <c r="K1128" s="81"/>
    </row>
    <row r="1129" spans="1:13" ht="15" customHeight="1" x14ac:dyDescent="0.25">
      <c r="A1129" s="3"/>
      <c r="B1129" s="3"/>
      <c r="C1129" s="3"/>
      <c r="D1129" s="3"/>
      <c r="E1129" s="3"/>
      <c r="F1129" s="3"/>
      <c r="G1129" s="3"/>
      <c r="H1129" s="3"/>
      <c r="I1129" s="3"/>
      <c r="J1129" s="3"/>
      <c r="K1129" s="3"/>
    </row>
    <row r="1130" spans="1:13" ht="15" customHeight="1" x14ac:dyDescent="0.25">
      <c r="A1130" s="10" t="s">
        <v>295</v>
      </c>
      <c r="B1130" s="10" t="s">
        <v>31</v>
      </c>
      <c r="C1130" s="82" t="s">
        <v>7</v>
      </c>
      <c r="D1130" s="83"/>
      <c r="E1130" s="83"/>
      <c r="F1130" s="83"/>
      <c r="G1130" s="6" t="s">
        <v>32</v>
      </c>
      <c r="H1130" s="6" t="s">
        <v>296</v>
      </c>
      <c r="I1130" s="6" t="s">
        <v>297</v>
      </c>
      <c r="J1130" s="57" t="s">
        <v>9</v>
      </c>
      <c r="K1130" s="58"/>
    </row>
    <row r="1131" spans="1:13" ht="60" customHeight="1" x14ac:dyDescent="0.25">
      <c r="A1131" s="6" t="s">
        <v>413</v>
      </c>
      <c r="B1131" s="28">
        <v>89746</v>
      </c>
      <c r="C1131" s="91" t="str">
        <f>VLOOKUP(B1131,S!$A:$D,2,FALSE)</f>
        <v>JOELHO 45 GRAUS, PVC, SERIE NORMAL, ESGOTO PREDIAL, DN 100 MM, JUNTA ELÁSTICA, FORNECIDO E INSTALADO EM RAMAL DE DESCARGA OU RAMAL DE ESGOTO SANITÁRIO. AF_12/2014</v>
      </c>
      <c r="D1131" s="91"/>
      <c r="E1131" s="91"/>
      <c r="F1131" s="92"/>
      <c r="G1131" s="6" t="str">
        <f>VLOOKUP(B1131,S!$A:$D,3,FALSE)</f>
        <v>UN</v>
      </c>
      <c r="H1131" s="21"/>
      <c r="I1131" s="21">
        <f>J1137</f>
        <v>21.029999999999998</v>
      </c>
      <c r="J1131" s="76"/>
      <c r="K1131" s="72"/>
      <c r="L1131" s="21">
        <f>VLOOKUP(B1131,S!$A:$D,4,FALSE)</f>
        <v>21.03</v>
      </c>
      <c r="M1131" s="6" t="str">
        <f>IF(ROUND((L1131-I1131),2)=0,"OK, confere com a tabela.",IF(ROUND((L1131-I1131),2)&lt;0,"ACIMA ("&amp;TEXT(ROUND(I1131*100/L1131,4),"0,0000")&amp;" %) da tabela.","ABAIXO ("&amp;TEXT(ROUND(I1131*100/L1131,4),"0,0000")&amp;" %) da tabela."))</f>
        <v>OK, confere com a tabela.</v>
      </c>
    </row>
    <row r="1132" spans="1:13" ht="30" customHeight="1" x14ac:dyDescent="0.25">
      <c r="A1132" s="16" t="s">
        <v>306</v>
      </c>
      <c r="B1132" s="20">
        <v>301</v>
      </c>
      <c r="C1132" s="77" t="str">
        <f>VLOOKUP(B1132,IF(A1132="COMPOSICAO",S!$A:$D,I!$A:$D),2,FALSE)</f>
        <v>ANEL BORRACHA PARA TUBO ESGOTO PREDIAL, DN 100 MM (NBR 5688)</v>
      </c>
      <c r="D1132" s="77"/>
      <c r="E1132" s="77"/>
      <c r="F1132" s="77"/>
      <c r="G1132" s="16" t="str">
        <f>VLOOKUP(B1132,IF(A1132="COMPOSICAO",S!$A:$D,I!$A:$D),3,FALSE)</f>
        <v>UN</v>
      </c>
      <c r="H1132" s="17">
        <v>1</v>
      </c>
      <c r="I1132" s="17">
        <f>IF(A1132="COMPOSICAO",VLOOKUP("TOTAL - "&amp;B1132,COMPOSICAO_AUX_2!$A:$J,10,FALSE),VLOOKUP(B1132,I!$A:$D,4,FALSE))</f>
        <v>3.46</v>
      </c>
      <c r="J1132" s="80">
        <f>TRUNC(H1132*I1132,2)</f>
        <v>3.46</v>
      </c>
      <c r="K1132" s="81"/>
    </row>
    <row r="1133" spans="1:13" ht="30" customHeight="1" x14ac:dyDescent="0.25">
      <c r="A1133" s="16" t="s">
        <v>306</v>
      </c>
      <c r="B1133" s="20">
        <v>3528</v>
      </c>
      <c r="C1133" s="77" t="str">
        <f>VLOOKUP(B1133,IF(A1133="COMPOSICAO",S!$A:$D,I!$A:$D),2,FALSE)</f>
        <v>JOELHO PVC, SOLDAVEL, PB, 45 GRAUS, DN 100 MM, PARA ESGOTO PREDIAL</v>
      </c>
      <c r="D1133" s="77"/>
      <c r="E1133" s="77"/>
      <c r="F1133" s="77"/>
      <c r="G1133" s="16" t="str">
        <f>VLOOKUP(B1133,IF(A1133="COMPOSICAO",S!$A:$D,I!$A:$D),3,FALSE)</f>
        <v>UN</v>
      </c>
      <c r="H1133" s="17">
        <v>1</v>
      </c>
      <c r="I1133" s="17">
        <f>IF(A1133="COMPOSICAO",VLOOKUP("TOTAL - "&amp;B1133,COMPOSICAO_AUX_2!$A:$J,10,FALSE),VLOOKUP(B1133,I!$A:$D,4,FALSE))</f>
        <v>7.89</v>
      </c>
      <c r="J1133" s="80">
        <f>TRUNC(H1133*I1133,2)</f>
        <v>7.89</v>
      </c>
      <c r="K1133" s="81"/>
    </row>
    <row r="1134" spans="1:13" ht="45" customHeight="1" x14ac:dyDescent="0.25">
      <c r="A1134" s="16" t="s">
        <v>306</v>
      </c>
      <c r="B1134" s="20">
        <v>20078</v>
      </c>
      <c r="C1134" s="77" t="str">
        <f>VLOOKUP(B1134,IF(A1134="COMPOSICAO",S!$A:$D,I!$A:$D),2,FALSE)</f>
        <v>PASTA LUBRIFICANTE PARA TUBOS E CONEXOES COM JUNTA ELASTICA (USO EM PVC, ACO, POLIETILENO E OUTROS) ( DE *400* G)</v>
      </c>
      <c r="D1134" s="77"/>
      <c r="E1134" s="77"/>
      <c r="F1134" s="77"/>
      <c r="G1134" s="16" t="str">
        <f>VLOOKUP(B1134,IF(A1134="COMPOSICAO",S!$A:$D,I!$A:$D),3,FALSE)</f>
        <v>UN</v>
      </c>
      <c r="H1134" s="30">
        <v>4.5999999999999999E-2</v>
      </c>
      <c r="I1134" s="17">
        <f>IF(A1134="COMPOSICAO",VLOOKUP("TOTAL - "&amp;B1134,COMPOSICAO_AUX_2!$A:$J,10,FALSE),VLOOKUP(B1134,I!$A:$D,4,FALSE))</f>
        <v>23.98</v>
      </c>
      <c r="J1134" s="80">
        <f>TRUNC(H1134*I1134,2)</f>
        <v>1.1000000000000001</v>
      </c>
      <c r="K1134" s="81"/>
    </row>
    <row r="1135" spans="1:13" ht="30" customHeight="1" x14ac:dyDescent="0.25">
      <c r="A1135" s="16" t="s">
        <v>302</v>
      </c>
      <c r="B1135" s="20">
        <v>88248</v>
      </c>
      <c r="C1135" s="77" t="str">
        <f>VLOOKUP(B1135,IF(A1135="COMPOSICAO",S!$A:$D,I!$A:$D),2,FALSE)</f>
        <v>AUXILIAR DE ENCANADOR OU BOMBEIRO HIDRÁULICO COM ENCARGOS COMPLEMENTARES</v>
      </c>
      <c r="D1135" s="77"/>
      <c r="E1135" s="77"/>
      <c r="F1135" s="77"/>
      <c r="G1135" s="16" t="str">
        <f>VLOOKUP(B1135,IF(A1135="COMPOSICAO",S!$A:$D,I!$A:$D),3,FALSE)</f>
        <v>H</v>
      </c>
      <c r="H1135" s="17">
        <v>0.25</v>
      </c>
      <c r="I1135" s="17">
        <f>IF(A1135="COMPOSICAO",VLOOKUP("TOTAL - "&amp;B1135,COMPOSICAO_AUX_2!$A:$J,10,FALSE),VLOOKUP(B1135,I!$A:$D,4,FALSE))</f>
        <v>14.96</v>
      </c>
      <c r="J1135" s="80">
        <f>TRUNC(H1135*I1135,2)</f>
        <v>3.74</v>
      </c>
      <c r="K1135" s="81"/>
    </row>
    <row r="1136" spans="1:13" ht="30" customHeight="1" x14ac:dyDescent="0.25">
      <c r="A1136" s="16" t="s">
        <v>302</v>
      </c>
      <c r="B1136" s="20">
        <v>88267</v>
      </c>
      <c r="C1136" s="77" t="str">
        <f>VLOOKUP(B1136,IF(A1136="COMPOSICAO",S!$A:$D,I!$A:$D),2,FALSE)</f>
        <v>ENCANADOR OU BOMBEIRO HIDRÁULICO COM ENCARGOS COMPLEMENTARES</v>
      </c>
      <c r="D1136" s="77"/>
      <c r="E1136" s="77"/>
      <c r="F1136" s="77"/>
      <c r="G1136" s="16" t="str">
        <f>VLOOKUP(B1136,IF(A1136="COMPOSICAO",S!$A:$D,I!$A:$D),3,FALSE)</f>
        <v>H</v>
      </c>
      <c r="H1136" s="17">
        <v>0.25</v>
      </c>
      <c r="I1136" s="17">
        <f>IF(A1136="COMPOSICAO",VLOOKUP("TOTAL - "&amp;B1136,COMPOSICAO_AUX_2!$A:$J,10,FALSE),VLOOKUP(B1136,I!$A:$D,4,FALSE))</f>
        <v>19.37</v>
      </c>
      <c r="J1136" s="80">
        <f>TRUNC(H1136*I1136,2)</f>
        <v>4.84</v>
      </c>
      <c r="K1136" s="81"/>
    </row>
    <row r="1137" spans="1:13" ht="15" customHeight="1" x14ac:dyDescent="0.25">
      <c r="A1137" s="23" t="s">
        <v>682</v>
      </c>
      <c r="B1137" s="24"/>
      <c r="C1137" s="24"/>
      <c r="D1137" s="24"/>
      <c r="E1137" s="24"/>
      <c r="F1137" s="24"/>
      <c r="G1137" s="25"/>
      <c r="H1137" s="26"/>
      <c r="I1137" s="27"/>
      <c r="J1137" s="80">
        <f>SUM(J1131:K1136)</f>
        <v>21.029999999999998</v>
      </c>
      <c r="K1137" s="81"/>
    </row>
    <row r="1138" spans="1:13" ht="15" customHeight="1" x14ac:dyDescent="0.25">
      <c r="A1138" s="3"/>
      <c r="B1138" s="3"/>
      <c r="C1138" s="3"/>
      <c r="D1138" s="3"/>
      <c r="E1138" s="3"/>
      <c r="F1138" s="3"/>
      <c r="G1138" s="3"/>
      <c r="H1138" s="3"/>
      <c r="I1138" s="3"/>
      <c r="J1138" s="3"/>
      <c r="K1138" s="3"/>
    </row>
    <row r="1139" spans="1:13" ht="15" customHeight="1" x14ac:dyDescent="0.25">
      <c r="A1139" s="10" t="s">
        <v>295</v>
      </c>
      <c r="B1139" s="10" t="s">
        <v>31</v>
      </c>
      <c r="C1139" s="82" t="s">
        <v>7</v>
      </c>
      <c r="D1139" s="83"/>
      <c r="E1139" s="83"/>
      <c r="F1139" s="83"/>
      <c r="G1139" s="6" t="s">
        <v>32</v>
      </c>
      <c r="H1139" s="6" t="s">
        <v>296</v>
      </c>
      <c r="I1139" s="6" t="s">
        <v>297</v>
      </c>
      <c r="J1139" s="57" t="s">
        <v>9</v>
      </c>
      <c r="K1139" s="58"/>
    </row>
    <row r="1140" spans="1:13" ht="60" customHeight="1" x14ac:dyDescent="0.25">
      <c r="A1140" s="6" t="s">
        <v>413</v>
      </c>
      <c r="B1140" s="28">
        <v>89748</v>
      </c>
      <c r="C1140" s="91" t="str">
        <f>VLOOKUP(B1140,S!$A:$D,2,FALSE)</f>
        <v>CURVA CURTA 90 GRAUS, PVC, SERIE NORMAL, ESGOTO PREDIAL, DN 100 MM, JUNTA ELÁSTICA, FORNECIDO E INSTALADO EM RAMAL DE DESCARGA OU RAMAL DE ESGOTO SANITÁRIO. AF_12/2014</v>
      </c>
      <c r="D1140" s="91"/>
      <c r="E1140" s="91"/>
      <c r="F1140" s="92"/>
      <c r="G1140" s="6" t="str">
        <f>VLOOKUP(B1140,S!$A:$D,3,FALSE)</f>
        <v>UN</v>
      </c>
      <c r="H1140" s="21"/>
      <c r="I1140" s="21">
        <f>J1146</f>
        <v>34.180000000000007</v>
      </c>
      <c r="J1140" s="76"/>
      <c r="K1140" s="72"/>
      <c r="L1140" s="21">
        <f>VLOOKUP(B1140,S!$A:$D,4,FALSE)</f>
        <v>34.18</v>
      </c>
      <c r="M1140" s="6" t="str">
        <f>IF(ROUND((L1140-I1140),2)=0,"OK, confere com a tabela.",IF(ROUND((L1140-I1140),2)&lt;0,"ACIMA ("&amp;TEXT(ROUND(I1140*100/L1140,4),"0,0000")&amp;" %) da tabela.","ABAIXO ("&amp;TEXT(ROUND(I1140*100/L1140,4),"0,0000")&amp;" %) da tabela."))</f>
        <v>OK, confere com a tabela.</v>
      </c>
    </row>
    <row r="1141" spans="1:13" ht="30" customHeight="1" x14ac:dyDescent="0.25">
      <c r="A1141" s="16" t="s">
        <v>306</v>
      </c>
      <c r="B1141" s="20">
        <v>301</v>
      </c>
      <c r="C1141" s="77" t="str">
        <f>VLOOKUP(B1141,IF(A1141="COMPOSICAO",S!$A:$D,I!$A:$D),2,FALSE)</f>
        <v>ANEL BORRACHA PARA TUBO ESGOTO PREDIAL, DN 100 MM (NBR 5688)</v>
      </c>
      <c r="D1141" s="77"/>
      <c r="E1141" s="77"/>
      <c r="F1141" s="77"/>
      <c r="G1141" s="16" t="str">
        <f>VLOOKUP(B1141,IF(A1141="COMPOSICAO",S!$A:$D,I!$A:$D),3,FALSE)</f>
        <v>UN</v>
      </c>
      <c r="H1141" s="17">
        <v>1</v>
      </c>
      <c r="I1141" s="17">
        <f>IF(A1141="COMPOSICAO",VLOOKUP("TOTAL - "&amp;B1141,COMPOSICAO_AUX_2!$A:$J,10,FALSE),VLOOKUP(B1141,I!$A:$D,4,FALSE))</f>
        <v>3.46</v>
      </c>
      <c r="J1141" s="80">
        <f>TRUNC(H1141*I1141,2)</f>
        <v>3.46</v>
      </c>
      <c r="K1141" s="81"/>
    </row>
    <row r="1142" spans="1:13" ht="30" customHeight="1" x14ac:dyDescent="0.25">
      <c r="A1142" s="16" t="s">
        <v>306</v>
      </c>
      <c r="B1142" s="20">
        <v>1966</v>
      </c>
      <c r="C1142" s="77" t="str">
        <f>VLOOKUP(B1142,IF(A1142="COMPOSICAO",S!$A:$D,I!$A:$D),2,FALSE)</f>
        <v>CURVA PVC CURTA 90 GRAUS, 100 MM, PARA ESGOTO PREDIAL</v>
      </c>
      <c r="D1142" s="77"/>
      <c r="E1142" s="77"/>
      <c r="F1142" s="77"/>
      <c r="G1142" s="16" t="str">
        <f>VLOOKUP(B1142,IF(A1142="COMPOSICAO",S!$A:$D,I!$A:$D),3,FALSE)</f>
        <v>UN</v>
      </c>
      <c r="H1142" s="17">
        <v>1</v>
      </c>
      <c r="I1142" s="17">
        <f>IF(A1142="COMPOSICAO",VLOOKUP("TOTAL - "&amp;B1142,COMPOSICAO_AUX_2!$A:$J,10,FALSE),VLOOKUP(B1142,I!$A:$D,4,FALSE))</f>
        <v>21.04</v>
      </c>
      <c r="J1142" s="80">
        <f>TRUNC(H1142*I1142,2)</f>
        <v>21.04</v>
      </c>
      <c r="K1142" s="81"/>
    </row>
    <row r="1143" spans="1:13" ht="45" customHeight="1" x14ac:dyDescent="0.25">
      <c r="A1143" s="16" t="s">
        <v>306</v>
      </c>
      <c r="B1143" s="20">
        <v>20078</v>
      </c>
      <c r="C1143" s="77" t="str">
        <f>VLOOKUP(B1143,IF(A1143="COMPOSICAO",S!$A:$D,I!$A:$D),2,FALSE)</f>
        <v>PASTA LUBRIFICANTE PARA TUBOS E CONEXOES COM JUNTA ELASTICA (USO EM PVC, ACO, POLIETILENO E OUTROS) ( DE *400* G)</v>
      </c>
      <c r="D1143" s="77"/>
      <c r="E1143" s="77"/>
      <c r="F1143" s="77"/>
      <c r="G1143" s="16" t="str">
        <f>VLOOKUP(B1143,IF(A1143="COMPOSICAO",S!$A:$D,I!$A:$D),3,FALSE)</f>
        <v>UN</v>
      </c>
      <c r="H1143" s="30">
        <v>4.5999999999999999E-2</v>
      </c>
      <c r="I1143" s="17">
        <f>IF(A1143="COMPOSICAO",VLOOKUP("TOTAL - "&amp;B1143,COMPOSICAO_AUX_2!$A:$J,10,FALSE),VLOOKUP(B1143,I!$A:$D,4,FALSE))</f>
        <v>23.98</v>
      </c>
      <c r="J1143" s="80">
        <f>TRUNC(H1143*I1143,2)</f>
        <v>1.1000000000000001</v>
      </c>
      <c r="K1143" s="81"/>
    </row>
    <row r="1144" spans="1:13" ht="30" customHeight="1" x14ac:dyDescent="0.25">
      <c r="A1144" s="16" t="s">
        <v>302</v>
      </c>
      <c r="B1144" s="20">
        <v>88248</v>
      </c>
      <c r="C1144" s="77" t="str">
        <f>VLOOKUP(B1144,IF(A1144="COMPOSICAO",S!$A:$D,I!$A:$D),2,FALSE)</f>
        <v>AUXILIAR DE ENCANADOR OU BOMBEIRO HIDRÁULICO COM ENCARGOS COMPLEMENTARES</v>
      </c>
      <c r="D1144" s="77"/>
      <c r="E1144" s="77"/>
      <c r="F1144" s="77"/>
      <c r="G1144" s="16" t="str">
        <f>VLOOKUP(B1144,IF(A1144="COMPOSICAO",S!$A:$D,I!$A:$D),3,FALSE)</f>
        <v>H</v>
      </c>
      <c r="H1144" s="17">
        <v>0.25</v>
      </c>
      <c r="I1144" s="17">
        <f>IF(A1144="COMPOSICAO",VLOOKUP("TOTAL - "&amp;B1144,COMPOSICAO_AUX_2!$A:$J,10,FALSE),VLOOKUP(B1144,I!$A:$D,4,FALSE))</f>
        <v>14.96</v>
      </c>
      <c r="J1144" s="80">
        <f>TRUNC(H1144*I1144,2)</f>
        <v>3.74</v>
      </c>
      <c r="K1144" s="81"/>
    </row>
    <row r="1145" spans="1:13" ht="30" customHeight="1" x14ac:dyDescent="0.25">
      <c r="A1145" s="16" t="s">
        <v>302</v>
      </c>
      <c r="B1145" s="20">
        <v>88267</v>
      </c>
      <c r="C1145" s="77" t="str">
        <f>VLOOKUP(B1145,IF(A1145="COMPOSICAO",S!$A:$D,I!$A:$D),2,FALSE)</f>
        <v>ENCANADOR OU BOMBEIRO HIDRÁULICO COM ENCARGOS COMPLEMENTARES</v>
      </c>
      <c r="D1145" s="77"/>
      <c r="E1145" s="77"/>
      <c r="F1145" s="77"/>
      <c r="G1145" s="16" t="str">
        <f>VLOOKUP(B1145,IF(A1145="COMPOSICAO",S!$A:$D,I!$A:$D),3,FALSE)</f>
        <v>H</v>
      </c>
      <c r="H1145" s="17">
        <v>0.25</v>
      </c>
      <c r="I1145" s="17">
        <f>IF(A1145="COMPOSICAO",VLOOKUP("TOTAL - "&amp;B1145,COMPOSICAO_AUX_2!$A:$J,10,FALSE),VLOOKUP(B1145,I!$A:$D,4,FALSE))</f>
        <v>19.37</v>
      </c>
      <c r="J1145" s="80">
        <f>TRUNC(H1145*I1145,2)</f>
        <v>4.84</v>
      </c>
      <c r="K1145" s="81"/>
    </row>
    <row r="1146" spans="1:13" ht="15" customHeight="1" x14ac:dyDescent="0.25">
      <c r="A1146" s="23" t="s">
        <v>683</v>
      </c>
      <c r="B1146" s="24"/>
      <c r="C1146" s="24"/>
      <c r="D1146" s="24"/>
      <c r="E1146" s="24"/>
      <c r="F1146" s="24"/>
      <c r="G1146" s="25"/>
      <c r="H1146" s="26"/>
      <c r="I1146" s="27"/>
      <c r="J1146" s="80">
        <f>SUM(J1140:K1145)</f>
        <v>34.180000000000007</v>
      </c>
      <c r="K1146" s="81"/>
    </row>
    <row r="1147" spans="1:13" ht="15" customHeight="1" x14ac:dyDescent="0.25">
      <c r="A1147" s="3"/>
      <c r="B1147" s="3"/>
      <c r="C1147" s="3"/>
      <c r="D1147" s="3"/>
      <c r="E1147" s="3"/>
      <c r="F1147" s="3"/>
      <c r="G1147" s="3"/>
      <c r="H1147" s="3"/>
      <c r="I1147" s="3"/>
      <c r="J1147" s="3"/>
      <c r="K1147" s="3"/>
    </row>
    <row r="1148" spans="1:13" ht="15" customHeight="1" x14ac:dyDescent="0.25">
      <c r="A1148" s="10" t="s">
        <v>295</v>
      </c>
      <c r="B1148" s="10" t="s">
        <v>31</v>
      </c>
      <c r="C1148" s="82" t="s">
        <v>7</v>
      </c>
      <c r="D1148" s="83"/>
      <c r="E1148" s="83"/>
      <c r="F1148" s="83"/>
      <c r="G1148" s="6" t="s">
        <v>32</v>
      </c>
      <c r="H1148" s="6" t="s">
        <v>296</v>
      </c>
      <c r="I1148" s="6" t="s">
        <v>297</v>
      </c>
      <c r="J1148" s="57" t="s">
        <v>9</v>
      </c>
      <c r="K1148" s="58"/>
    </row>
    <row r="1149" spans="1:13" ht="60" customHeight="1" x14ac:dyDescent="0.25">
      <c r="A1149" s="6" t="s">
        <v>413</v>
      </c>
      <c r="B1149" s="28">
        <v>89778</v>
      </c>
      <c r="C1149" s="91" t="str">
        <f>VLOOKUP(B1149,S!$A:$D,2,FALSE)</f>
        <v>LUVA SIMPLES, PVC, SERIE NORMAL, ESGOTO PREDIAL, DN 100 MM, JUNTA ELÁSTICA, FORNECIDO E INSTALADO EM RAMAL DE DESCARGA OU RAMAL DE ESGOTO SANITÁRIO. AF_12/2014</v>
      </c>
      <c r="D1149" s="91"/>
      <c r="E1149" s="91"/>
      <c r="F1149" s="92"/>
      <c r="G1149" s="6" t="str">
        <f>VLOOKUP(B1149,S!$A:$D,3,FALSE)</f>
        <v>UN</v>
      </c>
      <c r="H1149" s="21"/>
      <c r="I1149" s="21">
        <f>J1155</f>
        <v>16.45</v>
      </c>
      <c r="J1149" s="76"/>
      <c r="K1149" s="72"/>
      <c r="L1149" s="21">
        <f>VLOOKUP(B1149,S!$A:$D,4,FALSE)</f>
        <v>16.45</v>
      </c>
      <c r="M1149" s="6" t="str">
        <f>IF(ROUND((L1149-I1149),2)=0,"OK, confere com a tabela.",IF(ROUND((L1149-I1149),2)&lt;0,"ACIMA ("&amp;TEXT(ROUND(I1149*100/L1149,4),"0,0000")&amp;" %) da tabela.","ABAIXO ("&amp;TEXT(ROUND(I1149*100/L1149,4),"0,0000")&amp;" %) da tabela."))</f>
        <v>OK, confere com a tabela.</v>
      </c>
    </row>
    <row r="1150" spans="1:13" ht="30" customHeight="1" x14ac:dyDescent="0.25">
      <c r="A1150" s="16" t="s">
        <v>306</v>
      </c>
      <c r="B1150" s="20">
        <v>301</v>
      </c>
      <c r="C1150" s="77" t="str">
        <f>VLOOKUP(B1150,IF(A1150="COMPOSICAO",S!$A:$D,I!$A:$D),2,FALSE)</f>
        <v>ANEL BORRACHA PARA TUBO ESGOTO PREDIAL, DN 100 MM (NBR 5688)</v>
      </c>
      <c r="D1150" s="77"/>
      <c r="E1150" s="77"/>
      <c r="F1150" s="77"/>
      <c r="G1150" s="16" t="str">
        <f>VLOOKUP(B1150,IF(A1150="COMPOSICAO",S!$A:$D,I!$A:$D),3,FALSE)</f>
        <v>UN</v>
      </c>
      <c r="H1150" s="17">
        <v>1</v>
      </c>
      <c r="I1150" s="17">
        <f>IF(A1150="COMPOSICAO",VLOOKUP("TOTAL - "&amp;B1150,COMPOSICAO_AUX_2!$A:$J,10,FALSE),VLOOKUP(B1150,I!$A:$D,4,FALSE))</f>
        <v>3.46</v>
      </c>
      <c r="J1150" s="80">
        <f>TRUNC(H1150*I1150,2)</f>
        <v>3.46</v>
      </c>
      <c r="K1150" s="81"/>
    </row>
    <row r="1151" spans="1:13" ht="30" customHeight="1" x14ac:dyDescent="0.25">
      <c r="A1151" s="16" t="s">
        <v>306</v>
      </c>
      <c r="B1151" s="20">
        <v>3899</v>
      </c>
      <c r="C1151" s="77" t="str">
        <f>VLOOKUP(B1151,IF(A1151="COMPOSICAO",S!$A:$D,I!$A:$D),2,FALSE)</f>
        <v>LUVA SIMPLES, PVC, SOLDAVEL, DN 100 MM, SERIE NORMAL, PARA ESGOTO PREDIAL</v>
      </c>
      <c r="D1151" s="77"/>
      <c r="E1151" s="77"/>
      <c r="F1151" s="77"/>
      <c r="G1151" s="16" t="str">
        <f>VLOOKUP(B1151,IF(A1151="COMPOSICAO",S!$A:$D,I!$A:$D),3,FALSE)</f>
        <v>UN</v>
      </c>
      <c r="H1151" s="17">
        <v>1</v>
      </c>
      <c r="I1151" s="17">
        <f>IF(A1151="COMPOSICAO",VLOOKUP("TOTAL - "&amp;B1151,COMPOSICAO_AUX_2!$A:$J,10,FALSE),VLOOKUP(B1151,I!$A:$D,4,FALSE))</f>
        <v>6.06</v>
      </c>
      <c r="J1151" s="80">
        <f>TRUNC(H1151*I1151,2)</f>
        <v>6.06</v>
      </c>
      <c r="K1151" s="81"/>
    </row>
    <row r="1152" spans="1:13" ht="45" customHeight="1" x14ac:dyDescent="0.25">
      <c r="A1152" s="16" t="s">
        <v>306</v>
      </c>
      <c r="B1152" s="20">
        <v>20078</v>
      </c>
      <c r="C1152" s="77" t="str">
        <f>VLOOKUP(B1152,IF(A1152="COMPOSICAO",S!$A:$D,I!$A:$D),2,FALSE)</f>
        <v>PASTA LUBRIFICANTE PARA TUBOS E CONEXOES COM JUNTA ELASTICA (USO EM PVC, ACO, POLIETILENO E OUTROS) ( DE *400* G)</v>
      </c>
      <c r="D1152" s="77"/>
      <c r="E1152" s="77"/>
      <c r="F1152" s="77"/>
      <c r="G1152" s="16" t="str">
        <f>VLOOKUP(B1152,IF(A1152="COMPOSICAO",S!$A:$D,I!$A:$D),3,FALSE)</f>
        <v>UN</v>
      </c>
      <c r="H1152" s="30">
        <v>4.5999999999999999E-2</v>
      </c>
      <c r="I1152" s="17">
        <f>IF(A1152="COMPOSICAO",VLOOKUP("TOTAL - "&amp;B1152,COMPOSICAO_AUX_2!$A:$J,10,FALSE),VLOOKUP(B1152,I!$A:$D,4,FALSE))</f>
        <v>23.98</v>
      </c>
      <c r="J1152" s="80">
        <f>TRUNC(H1152*I1152,2)</f>
        <v>1.1000000000000001</v>
      </c>
      <c r="K1152" s="81"/>
    </row>
    <row r="1153" spans="1:13" ht="30" customHeight="1" x14ac:dyDescent="0.25">
      <c r="A1153" s="16" t="s">
        <v>302</v>
      </c>
      <c r="B1153" s="20">
        <v>88248</v>
      </c>
      <c r="C1153" s="77" t="str">
        <f>VLOOKUP(B1153,IF(A1153="COMPOSICAO",S!$A:$D,I!$A:$D),2,FALSE)</f>
        <v>AUXILIAR DE ENCANADOR OU BOMBEIRO HIDRÁULICO COM ENCARGOS COMPLEMENTARES</v>
      </c>
      <c r="D1153" s="77"/>
      <c r="E1153" s="77"/>
      <c r="F1153" s="77"/>
      <c r="G1153" s="16" t="str">
        <f>VLOOKUP(B1153,IF(A1153="COMPOSICAO",S!$A:$D,I!$A:$D),3,FALSE)</f>
        <v>H</v>
      </c>
      <c r="H1153" s="17">
        <v>0.17</v>
      </c>
      <c r="I1153" s="17">
        <f>IF(A1153="COMPOSICAO",VLOOKUP("TOTAL - "&amp;B1153,COMPOSICAO_AUX_2!$A:$J,10,FALSE),VLOOKUP(B1153,I!$A:$D,4,FALSE))</f>
        <v>14.96</v>
      </c>
      <c r="J1153" s="80">
        <f>TRUNC(H1153*I1153,2)</f>
        <v>2.54</v>
      </c>
      <c r="K1153" s="81"/>
    </row>
    <row r="1154" spans="1:13" ht="30" customHeight="1" x14ac:dyDescent="0.25">
      <c r="A1154" s="16" t="s">
        <v>302</v>
      </c>
      <c r="B1154" s="20">
        <v>88267</v>
      </c>
      <c r="C1154" s="77" t="str">
        <f>VLOOKUP(B1154,IF(A1154="COMPOSICAO",S!$A:$D,I!$A:$D),2,FALSE)</f>
        <v>ENCANADOR OU BOMBEIRO HIDRÁULICO COM ENCARGOS COMPLEMENTARES</v>
      </c>
      <c r="D1154" s="77"/>
      <c r="E1154" s="77"/>
      <c r="F1154" s="77"/>
      <c r="G1154" s="16" t="str">
        <f>VLOOKUP(B1154,IF(A1154="COMPOSICAO",S!$A:$D,I!$A:$D),3,FALSE)</f>
        <v>H</v>
      </c>
      <c r="H1154" s="17">
        <v>0.17</v>
      </c>
      <c r="I1154" s="17">
        <f>IF(A1154="COMPOSICAO",VLOOKUP("TOTAL - "&amp;B1154,COMPOSICAO_AUX_2!$A:$J,10,FALSE),VLOOKUP(B1154,I!$A:$D,4,FALSE))</f>
        <v>19.37</v>
      </c>
      <c r="J1154" s="80">
        <f>TRUNC(H1154*I1154,2)</f>
        <v>3.29</v>
      </c>
      <c r="K1154" s="81"/>
    </row>
    <row r="1155" spans="1:13" ht="15" customHeight="1" x14ac:dyDescent="0.25">
      <c r="A1155" s="23" t="s">
        <v>684</v>
      </c>
      <c r="B1155" s="24"/>
      <c r="C1155" s="24"/>
      <c r="D1155" s="24"/>
      <c r="E1155" s="24"/>
      <c r="F1155" s="24"/>
      <c r="G1155" s="25"/>
      <c r="H1155" s="26"/>
      <c r="I1155" s="27"/>
      <c r="J1155" s="80">
        <f>SUM(J1149:K1154)</f>
        <v>16.45</v>
      </c>
      <c r="K1155" s="81"/>
    </row>
    <row r="1156" spans="1:13" ht="15" customHeight="1" x14ac:dyDescent="0.25">
      <c r="A1156" s="3"/>
      <c r="B1156" s="3"/>
      <c r="C1156" s="3"/>
      <c r="D1156" s="3"/>
      <c r="E1156" s="3"/>
      <c r="F1156" s="3"/>
      <c r="G1156" s="3"/>
      <c r="H1156" s="3"/>
      <c r="I1156" s="3"/>
      <c r="J1156" s="3"/>
      <c r="K1156" s="3"/>
    </row>
    <row r="1157" spans="1:13" ht="15" customHeight="1" x14ac:dyDescent="0.25">
      <c r="A1157" s="10" t="s">
        <v>295</v>
      </c>
      <c r="B1157" s="10" t="s">
        <v>31</v>
      </c>
      <c r="C1157" s="82" t="s">
        <v>7</v>
      </c>
      <c r="D1157" s="83"/>
      <c r="E1157" s="83"/>
      <c r="F1157" s="83"/>
      <c r="G1157" s="6" t="s">
        <v>32</v>
      </c>
      <c r="H1157" s="6" t="s">
        <v>296</v>
      </c>
      <c r="I1157" s="6" t="s">
        <v>297</v>
      </c>
      <c r="J1157" s="57" t="s">
        <v>9</v>
      </c>
      <c r="K1157" s="58"/>
    </row>
    <row r="1158" spans="1:13" ht="60" customHeight="1" x14ac:dyDescent="0.25">
      <c r="A1158" s="6" t="s">
        <v>413</v>
      </c>
      <c r="B1158" s="28">
        <v>89796</v>
      </c>
      <c r="C1158" s="91" t="str">
        <f>VLOOKUP(B1158,S!$A:$D,2,FALSE)</f>
        <v>TE, PVC, SERIE NORMAL, ESGOTO PREDIAL, DN 100 X 100 MM, JUNTA ELÁSTICA, FORNECIDO E INSTALADO EM RAMAL DE DESCARGA OU RAMAL DE ESGOTO SANITÁRIO. AF_12/2014</v>
      </c>
      <c r="D1158" s="91"/>
      <c r="E1158" s="91"/>
      <c r="F1158" s="92"/>
      <c r="G1158" s="6" t="str">
        <f>VLOOKUP(B1158,S!$A:$D,3,FALSE)</f>
        <v>UN</v>
      </c>
      <c r="H1158" s="21"/>
      <c r="I1158" s="21">
        <f>J1164</f>
        <v>35.699999999999996</v>
      </c>
      <c r="J1158" s="76"/>
      <c r="K1158" s="72"/>
      <c r="L1158" s="21">
        <f>VLOOKUP(B1158,S!$A:$D,4,FALSE)</f>
        <v>35.700000000000003</v>
      </c>
      <c r="M1158" s="6" t="str">
        <f>IF(ROUND((L1158-I1158),2)=0,"OK, confere com a tabela.",IF(ROUND((L1158-I1158),2)&lt;0,"ACIMA ("&amp;TEXT(ROUND(I1158*100/L1158,4),"0,0000")&amp;" %) da tabela.","ABAIXO ("&amp;TEXT(ROUND(I1158*100/L1158,4),"0,0000")&amp;" %) da tabela."))</f>
        <v>OK, confere com a tabela.</v>
      </c>
    </row>
    <row r="1159" spans="1:13" ht="30" customHeight="1" x14ac:dyDescent="0.25">
      <c r="A1159" s="16" t="s">
        <v>306</v>
      </c>
      <c r="B1159" s="20">
        <v>301</v>
      </c>
      <c r="C1159" s="77" t="str">
        <f>VLOOKUP(B1159,IF(A1159="COMPOSICAO",S!$A:$D,I!$A:$D),2,FALSE)</f>
        <v>ANEL BORRACHA PARA TUBO ESGOTO PREDIAL, DN 100 MM (NBR 5688)</v>
      </c>
      <c r="D1159" s="77"/>
      <c r="E1159" s="77"/>
      <c r="F1159" s="77"/>
      <c r="G1159" s="16" t="str">
        <f>VLOOKUP(B1159,IF(A1159="COMPOSICAO",S!$A:$D,I!$A:$D),3,FALSE)</f>
        <v>UN</v>
      </c>
      <c r="H1159" s="17">
        <v>2</v>
      </c>
      <c r="I1159" s="17">
        <f>IF(A1159="COMPOSICAO",VLOOKUP("TOTAL - "&amp;B1159,COMPOSICAO_AUX_2!$A:$J,10,FALSE),VLOOKUP(B1159,I!$A:$D,4,FALSE))</f>
        <v>3.46</v>
      </c>
      <c r="J1159" s="80">
        <f>TRUNC(H1159*I1159,2)</f>
        <v>6.92</v>
      </c>
      <c r="K1159" s="81"/>
    </row>
    <row r="1160" spans="1:13" ht="30" customHeight="1" x14ac:dyDescent="0.25">
      <c r="A1160" s="16" t="s">
        <v>306</v>
      </c>
      <c r="B1160" s="20">
        <v>7091</v>
      </c>
      <c r="C1160" s="77" t="str">
        <f>VLOOKUP(B1160,IF(A1160="COMPOSICAO",S!$A:$D,I!$A:$D),2,FALSE)</f>
        <v>TE SANITARIO, PVC, DN 100 X 100 MM, SERIE NORMAL, PARA ESGOTO PREDIAL</v>
      </c>
      <c r="D1160" s="77"/>
      <c r="E1160" s="77"/>
      <c r="F1160" s="77"/>
      <c r="G1160" s="16" t="str">
        <f>VLOOKUP(B1160,IF(A1160="COMPOSICAO",S!$A:$D,I!$A:$D),3,FALSE)</f>
        <v>UN</v>
      </c>
      <c r="H1160" s="17">
        <v>1</v>
      </c>
      <c r="I1160" s="17">
        <f>IF(A1160="COMPOSICAO",VLOOKUP("TOTAL - "&amp;B1160,COMPOSICAO_AUX_2!$A:$J,10,FALSE),VLOOKUP(B1160,I!$A:$D,4,FALSE))</f>
        <v>15.26</v>
      </c>
      <c r="J1160" s="80">
        <f>TRUNC(H1160*I1160,2)</f>
        <v>15.26</v>
      </c>
      <c r="K1160" s="81"/>
    </row>
    <row r="1161" spans="1:13" ht="45" customHeight="1" x14ac:dyDescent="0.25">
      <c r="A1161" s="16" t="s">
        <v>306</v>
      </c>
      <c r="B1161" s="20">
        <v>20078</v>
      </c>
      <c r="C1161" s="77" t="str">
        <f>VLOOKUP(B1161,IF(A1161="COMPOSICAO",S!$A:$D,I!$A:$D),2,FALSE)</f>
        <v>PASTA LUBRIFICANTE PARA TUBOS E CONEXOES COM JUNTA ELASTICA (USO EM PVC, ACO, POLIETILENO E OUTROS) ( DE *400* G)</v>
      </c>
      <c r="D1161" s="77"/>
      <c r="E1161" s="77"/>
      <c r="F1161" s="77"/>
      <c r="G1161" s="16" t="str">
        <f>VLOOKUP(B1161,IF(A1161="COMPOSICAO",S!$A:$D,I!$A:$D),3,FALSE)</f>
        <v>UN</v>
      </c>
      <c r="H1161" s="30">
        <v>9.1999999999999998E-2</v>
      </c>
      <c r="I1161" s="17">
        <f>IF(A1161="COMPOSICAO",VLOOKUP("TOTAL - "&amp;B1161,COMPOSICAO_AUX_2!$A:$J,10,FALSE),VLOOKUP(B1161,I!$A:$D,4,FALSE))</f>
        <v>23.98</v>
      </c>
      <c r="J1161" s="80">
        <f>TRUNC(H1161*I1161,2)</f>
        <v>2.2000000000000002</v>
      </c>
      <c r="K1161" s="81"/>
    </row>
    <row r="1162" spans="1:13" ht="30" customHeight="1" x14ac:dyDescent="0.25">
      <c r="A1162" s="16" t="s">
        <v>302</v>
      </c>
      <c r="B1162" s="20">
        <v>88248</v>
      </c>
      <c r="C1162" s="77" t="str">
        <f>VLOOKUP(B1162,IF(A1162="COMPOSICAO",S!$A:$D,I!$A:$D),2,FALSE)</f>
        <v>AUXILIAR DE ENCANADOR OU BOMBEIRO HIDRÁULICO COM ENCARGOS COMPLEMENTARES</v>
      </c>
      <c r="D1162" s="77"/>
      <c r="E1162" s="77"/>
      <c r="F1162" s="77"/>
      <c r="G1162" s="16" t="str">
        <f>VLOOKUP(B1162,IF(A1162="COMPOSICAO",S!$A:$D,I!$A:$D),3,FALSE)</f>
        <v>H</v>
      </c>
      <c r="H1162" s="17">
        <v>0.33</v>
      </c>
      <c r="I1162" s="17">
        <f>IF(A1162="COMPOSICAO",VLOOKUP("TOTAL - "&amp;B1162,COMPOSICAO_AUX_2!$A:$J,10,FALSE),VLOOKUP(B1162,I!$A:$D,4,FALSE))</f>
        <v>14.96</v>
      </c>
      <c r="J1162" s="80">
        <f>TRUNC(H1162*I1162,2)</f>
        <v>4.93</v>
      </c>
      <c r="K1162" s="81"/>
    </row>
    <row r="1163" spans="1:13" ht="30" customHeight="1" x14ac:dyDescent="0.25">
      <c r="A1163" s="16" t="s">
        <v>302</v>
      </c>
      <c r="B1163" s="20">
        <v>88267</v>
      </c>
      <c r="C1163" s="77" t="str">
        <f>VLOOKUP(B1163,IF(A1163="COMPOSICAO",S!$A:$D,I!$A:$D),2,FALSE)</f>
        <v>ENCANADOR OU BOMBEIRO HIDRÁULICO COM ENCARGOS COMPLEMENTARES</v>
      </c>
      <c r="D1163" s="77"/>
      <c r="E1163" s="77"/>
      <c r="F1163" s="77"/>
      <c r="G1163" s="16" t="str">
        <f>VLOOKUP(B1163,IF(A1163="COMPOSICAO",S!$A:$D,I!$A:$D),3,FALSE)</f>
        <v>H</v>
      </c>
      <c r="H1163" s="17">
        <v>0.33</v>
      </c>
      <c r="I1163" s="17">
        <f>IF(A1163="COMPOSICAO",VLOOKUP("TOTAL - "&amp;B1163,COMPOSICAO_AUX_2!$A:$J,10,FALSE),VLOOKUP(B1163,I!$A:$D,4,FALSE))</f>
        <v>19.37</v>
      </c>
      <c r="J1163" s="80">
        <f>TRUNC(H1163*I1163,2)</f>
        <v>6.39</v>
      </c>
      <c r="K1163" s="81"/>
    </row>
    <row r="1164" spans="1:13" ht="15" customHeight="1" x14ac:dyDescent="0.25">
      <c r="A1164" s="23" t="s">
        <v>685</v>
      </c>
      <c r="B1164" s="24"/>
      <c r="C1164" s="24"/>
      <c r="D1164" s="24"/>
      <c r="E1164" s="24"/>
      <c r="F1164" s="24"/>
      <c r="G1164" s="25"/>
      <c r="H1164" s="26"/>
      <c r="I1164" s="27"/>
      <c r="J1164" s="80">
        <f>SUM(J1158:K1163)</f>
        <v>35.699999999999996</v>
      </c>
      <c r="K1164" s="81"/>
    </row>
    <row r="1165" spans="1:13" ht="15" customHeight="1" x14ac:dyDescent="0.25">
      <c r="A1165" s="3"/>
      <c r="B1165" s="3"/>
      <c r="C1165" s="3"/>
      <c r="D1165" s="3"/>
      <c r="E1165" s="3"/>
      <c r="F1165" s="3"/>
      <c r="G1165" s="3"/>
      <c r="H1165" s="3"/>
      <c r="I1165" s="3"/>
      <c r="J1165" s="3"/>
      <c r="K1165" s="3"/>
    </row>
    <row r="1166" spans="1:13" ht="15" customHeight="1" x14ac:dyDescent="0.25">
      <c r="A1166" s="10" t="s">
        <v>295</v>
      </c>
      <c r="B1166" s="10" t="s">
        <v>31</v>
      </c>
      <c r="C1166" s="82" t="s">
        <v>7</v>
      </c>
      <c r="D1166" s="83"/>
      <c r="E1166" s="83"/>
      <c r="F1166" s="83"/>
      <c r="G1166" s="6" t="s">
        <v>32</v>
      </c>
      <c r="H1166" s="6" t="s">
        <v>296</v>
      </c>
      <c r="I1166" s="6" t="s">
        <v>297</v>
      </c>
      <c r="J1166" s="57" t="s">
        <v>9</v>
      </c>
      <c r="K1166" s="58"/>
    </row>
    <row r="1167" spans="1:13" ht="60" customHeight="1" x14ac:dyDescent="0.25">
      <c r="A1167" s="6" t="s">
        <v>413</v>
      </c>
      <c r="B1167" s="28">
        <v>89797</v>
      </c>
      <c r="C1167" s="91" t="str">
        <f>VLOOKUP(B1167,S!$A:$D,2,FALSE)</f>
        <v>JUNÇÃO SIMPLES, PVC, SERIE NORMAL, ESGOTO PREDIAL, DN 100 X 100 MM, JUNTA ELÁSTICA, FORNECIDO E INSTALADO EM RAMAL DE DESCARGA OU RAMAL DE ESGOTO SANITÁRIO. AF_12/2014</v>
      </c>
      <c r="D1167" s="91"/>
      <c r="E1167" s="91"/>
      <c r="F1167" s="92"/>
      <c r="G1167" s="6" t="str">
        <f>VLOOKUP(B1167,S!$A:$D,3,FALSE)</f>
        <v>UN</v>
      </c>
      <c r="H1167" s="21"/>
      <c r="I1167" s="21">
        <f>J1173</f>
        <v>41.120000000000005</v>
      </c>
      <c r="J1167" s="76"/>
      <c r="K1167" s="72"/>
      <c r="L1167" s="21">
        <f>VLOOKUP(B1167,S!$A:$D,4,FALSE)</f>
        <v>41.12</v>
      </c>
      <c r="M1167" s="6" t="str">
        <f>IF(ROUND((L1167-I1167),2)=0,"OK, confere com a tabela.",IF(ROUND((L1167-I1167),2)&lt;0,"ACIMA ("&amp;TEXT(ROUND(I1167*100/L1167,4),"0,0000")&amp;" %) da tabela.","ABAIXO ("&amp;TEXT(ROUND(I1167*100/L1167,4),"0,0000")&amp;" %) da tabela."))</f>
        <v>OK, confere com a tabela.</v>
      </c>
    </row>
    <row r="1168" spans="1:13" ht="30" customHeight="1" x14ac:dyDescent="0.25">
      <c r="A1168" s="16" t="s">
        <v>306</v>
      </c>
      <c r="B1168" s="20">
        <v>301</v>
      </c>
      <c r="C1168" s="77" t="str">
        <f>VLOOKUP(B1168,IF(A1168="COMPOSICAO",S!$A:$D,I!$A:$D),2,FALSE)</f>
        <v>ANEL BORRACHA PARA TUBO ESGOTO PREDIAL, DN 100 MM (NBR 5688)</v>
      </c>
      <c r="D1168" s="77"/>
      <c r="E1168" s="77"/>
      <c r="F1168" s="77"/>
      <c r="G1168" s="16" t="str">
        <f>VLOOKUP(B1168,IF(A1168="COMPOSICAO",S!$A:$D,I!$A:$D),3,FALSE)</f>
        <v>UN</v>
      </c>
      <c r="H1168" s="17">
        <v>2</v>
      </c>
      <c r="I1168" s="17">
        <f>IF(A1168="COMPOSICAO",VLOOKUP("TOTAL - "&amp;B1168,COMPOSICAO_AUX_2!$A:$J,10,FALSE),VLOOKUP(B1168,I!$A:$D,4,FALSE))</f>
        <v>3.46</v>
      </c>
      <c r="J1168" s="80">
        <f>TRUNC(H1168*I1168,2)</f>
        <v>6.92</v>
      </c>
      <c r="K1168" s="81"/>
    </row>
    <row r="1169" spans="1:13" ht="30" customHeight="1" x14ac:dyDescent="0.25">
      <c r="A1169" s="16" t="s">
        <v>306</v>
      </c>
      <c r="B1169" s="20">
        <v>3670</v>
      </c>
      <c r="C1169" s="77" t="str">
        <f>VLOOKUP(B1169,IF(A1169="COMPOSICAO",S!$A:$D,I!$A:$D),2,FALSE)</f>
        <v>JUNCAO SIMPLES, PVC, 45 GRAUS, DN 100 X 100 MM, SERIE NORMAL PARA ESGOTO PREDIAL</v>
      </c>
      <c r="D1169" s="77"/>
      <c r="E1169" s="77"/>
      <c r="F1169" s="77"/>
      <c r="G1169" s="16" t="str">
        <f>VLOOKUP(B1169,IF(A1169="COMPOSICAO",S!$A:$D,I!$A:$D),3,FALSE)</f>
        <v>UN</v>
      </c>
      <c r="H1169" s="17">
        <v>1</v>
      </c>
      <c r="I1169" s="17">
        <f>IF(A1169="COMPOSICAO",VLOOKUP("TOTAL - "&amp;B1169,COMPOSICAO_AUX_2!$A:$J,10,FALSE),VLOOKUP(B1169,I!$A:$D,4,FALSE))</f>
        <v>20.68</v>
      </c>
      <c r="J1169" s="80">
        <f>TRUNC(H1169*I1169,2)</f>
        <v>20.68</v>
      </c>
      <c r="K1169" s="81"/>
    </row>
    <row r="1170" spans="1:13" ht="45" customHeight="1" x14ac:dyDescent="0.25">
      <c r="A1170" s="16" t="s">
        <v>306</v>
      </c>
      <c r="B1170" s="20">
        <v>20078</v>
      </c>
      <c r="C1170" s="77" t="str">
        <f>VLOOKUP(B1170,IF(A1170="COMPOSICAO",S!$A:$D,I!$A:$D),2,FALSE)</f>
        <v>PASTA LUBRIFICANTE PARA TUBOS E CONEXOES COM JUNTA ELASTICA (USO EM PVC, ACO, POLIETILENO E OUTROS) ( DE *400* G)</v>
      </c>
      <c r="D1170" s="77"/>
      <c r="E1170" s="77"/>
      <c r="F1170" s="77"/>
      <c r="G1170" s="16" t="str">
        <f>VLOOKUP(B1170,IF(A1170="COMPOSICAO",S!$A:$D,I!$A:$D),3,FALSE)</f>
        <v>UN</v>
      </c>
      <c r="H1170" s="30">
        <v>9.1999999999999998E-2</v>
      </c>
      <c r="I1170" s="17">
        <f>IF(A1170="COMPOSICAO",VLOOKUP("TOTAL - "&amp;B1170,COMPOSICAO_AUX_2!$A:$J,10,FALSE),VLOOKUP(B1170,I!$A:$D,4,FALSE))</f>
        <v>23.98</v>
      </c>
      <c r="J1170" s="80">
        <f>TRUNC(H1170*I1170,2)</f>
        <v>2.2000000000000002</v>
      </c>
      <c r="K1170" s="81"/>
    </row>
    <row r="1171" spans="1:13" ht="30" customHeight="1" x14ac:dyDescent="0.25">
      <c r="A1171" s="16" t="s">
        <v>302</v>
      </c>
      <c r="B1171" s="20">
        <v>88248</v>
      </c>
      <c r="C1171" s="77" t="str">
        <f>VLOOKUP(B1171,IF(A1171="COMPOSICAO",S!$A:$D,I!$A:$D),2,FALSE)</f>
        <v>AUXILIAR DE ENCANADOR OU BOMBEIRO HIDRÁULICO COM ENCARGOS COMPLEMENTARES</v>
      </c>
      <c r="D1171" s="77"/>
      <c r="E1171" s="77"/>
      <c r="F1171" s="77"/>
      <c r="G1171" s="16" t="str">
        <f>VLOOKUP(B1171,IF(A1171="COMPOSICAO",S!$A:$D,I!$A:$D),3,FALSE)</f>
        <v>H</v>
      </c>
      <c r="H1171" s="17">
        <v>0.33</v>
      </c>
      <c r="I1171" s="17">
        <f>IF(A1171="COMPOSICAO",VLOOKUP("TOTAL - "&amp;B1171,COMPOSICAO_AUX_2!$A:$J,10,FALSE),VLOOKUP(B1171,I!$A:$D,4,FALSE))</f>
        <v>14.96</v>
      </c>
      <c r="J1171" s="80">
        <f>TRUNC(H1171*I1171,2)</f>
        <v>4.93</v>
      </c>
      <c r="K1171" s="81"/>
    </row>
    <row r="1172" spans="1:13" ht="30" customHeight="1" x14ac:dyDescent="0.25">
      <c r="A1172" s="16" t="s">
        <v>302</v>
      </c>
      <c r="B1172" s="20">
        <v>88267</v>
      </c>
      <c r="C1172" s="77" t="str">
        <f>VLOOKUP(B1172,IF(A1172="COMPOSICAO",S!$A:$D,I!$A:$D),2,FALSE)</f>
        <v>ENCANADOR OU BOMBEIRO HIDRÁULICO COM ENCARGOS COMPLEMENTARES</v>
      </c>
      <c r="D1172" s="77"/>
      <c r="E1172" s="77"/>
      <c r="F1172" s="77"/>
      <c r="G1172" s="16" t="str">
        <f>VLOOKUP(B1172,IF(A1172="COMPOSICAO",S!$A:$D,I!$A:$D),3,FALSE)</f>
        <v>H</v>
      </c>
      <c r="H1172" s="17">
        <v>0.33</v>
      </c>
      <c r="I1172" s="17">
        <f>IF(A1172="COMPOSICAO",VLOOKUP("TOTAL - "&amp;B1172,COMPOSICAO_AUX_2!$A:$J,10,FALSE),VLOOKUP(B1172,I!$A:$D,4,FALSE))</f>
        <v>19.37</v>
      </c>
      <c r="J1172" s="80">
        <f>TRUNC(H1172*I1172,2)</f>
        <v>6.39</v>
      </c>
      <c r="K1172" s="81"/>
    </row>
    <row r="1173" spans="1:13" ht="15" customHeight="1" x14ac:dyDescent="0.25">
      <c r="A1173" s="23" t="s">
        <v>686</v>
      </c>
      <c r="B1173" s="24"/>
      <c r="C1173" s="24"/>
      <c r="D1173" s="24"/>
      <c r="E1173" s="24"/>
      <c r="F1173" s="24"/>
      <c r="G1173" s="25"/>
      <c r="H1173" s="26"/>
      <c r="I1173" s="27"/>
      <c r="J1173" s="80">
        <f>SUM(J1167:K1172)</f>
        <v>41.120000000000005</v>
      </c>
      <c r="K1173" s="81"/>
    </row>
    <row r="1174" spans="1:13" ht="15" customHeight="1" x14ac:dyDescent="0.25">
      <c r="A1174" s="3"/>
      <c r="B1174" s="3"/>
      <c r="C1174" s="3"/>
      <c r="D1174" s="3"/>
      <c r="E1174" s="3"/>
      <c r="F1174" s="3"/>
      <c r="G1174" s="3"/>
      <c r="H1174" s="3"/>
      <c r="I1174" s="3"/>
      <c r="J1174" s="3"/>
      <c r="K1174" s="3"/>
    </row>
    <row r="1175" spans="1:13" ht="15" customHeight="1" x14ac:dyDescent="0.25">
      <c r="A1175" s="10" t="s">
        <v>295</v>
      </c>
      <c r="B1175" s="10" t="s">
        <v>31</v>
      </c>
      <c r="C1175" s="82" t="s">
        <v>7</v>
      </c>
      <c r="D1175" s="83"/>
      <c r="E1175" s="83"/>
      <c r="F1175" s="83"/>
      <c r="G1175" s="6" t="s">
        <v>32</v>
      </c>
      <c r="H1175" s="6" t="s">
        <v>296</v>
      </c>
      <c r="I1175" s="6" t="s">
        <v>297</v>
      </c>
      <c r="J1175" s="57" t="s">
        <v>9</v>
      </c>
      <c r="K1175" s="58"/>
    </row>
    <row r="1176" spans="1:13" ht="45" customHeight="1" x14ac:dyDescent="0.25">
      <c r="A1176" s="6" t="s">
        <v>413</v>
      </c>
      <c r="B1176" s="28">
        <v>89800</v>
      </c>
      <c r="C1176" s="91" t="str">
        <f>VLOOKUP(B1176,S!$A:$D,2,FALSE)</f>
        <v>TUBO PVC, SERIE NORMAL, ESGOTO PREDIAL, DN 100 MM, FORNECIDO E INSTALADO EM PRUMADA DE ESGOTO SANITÁRIO OU VENTILAÇÃO. AF_12/2014</v>
      </c>
      <c r="D1176" s="91"/>
      <c r="E1176" s="91"/>
      <c r="F1176" s="92"/>
      <c r="G1176" s="6" t="str">
        <f>VLOOKUP(B1176,S!$A:$D,3,FALSE)</f>
        <v>M</v>
      </c>
      <c r="H1176" s="21"/>
      <c r="I1176" s="21">
        <f>J1183</f>
        <v>22.09</v>
      </c>
      <c r="J1176" s="76"/>
      <c r="K1176" s="72"/>
      <c r="L1176" s="21">
        <f>VLOOKUP(B1176,S!$A:$D,4,FALSE)</f>
        <v>22.09</v>
      </c>
      <c r="M1176" s="6" t="str">
        <f>IF(ROUND((L1176-I1176),2)=0,"OK, confere com a tabela.",IF(ROUND((L1176-I1176),2)&lt;0,"ACIMA ("&amp;TEXT(ROUND(I1176*100/L1176,4),"0,0000")&amp;" %) da tabela.","ABAIXO ("&amp;TEXT(ROUND(I1176*100/L1176,4),"0,0000")&amp;" %) da tabela."))</f>
        <v>OK, confere com a tabela.</v>
      </c>
    </row>
    <row r="1177" spans="1:13" ht="15" customHeight="1" x14ac:dyDescent="0.25">
      <c r="A1177" s="16" t="s">
        <v>306</v>
      </c>
      <c r="B1177" s="20">
        <v>122</v>
      </c>
      <c r="C1177" s="77" t="str">
        <f>VLOOKUP(B1177,IF(A1177="COMPOSICAO",S!$A:$D,I!$A:$D),2,FALSE)</f>
        <v>ADESIVO PLASTICO PARA PVC, FRASCO COM 850 GR</v>
      </c>
      <c r="D1177" s="77"/>
      <c r="E1177" s="77"/>
      <c r="F1177" s="77"/>
      <c r="G1177" s="16" t="str">
        <f>VLOOKUP(B1177,IF(A1177="COMPOSICAO",S!$A:$D,I!$A:$D),3,FALSE)</f>
        <v>UN</v>
      </c>
      <c r="H1177" s="29">
        <v>1.17E-2</v>
      </c>
      <c r="I1177" s="17">
        <f>IF(A1177="COMPOSICAO",VLOOKUP("TOTAL - "&amp;B1177,COMPOSICAO_AUX_2!$A:$J,10,FALSE),VLOOKUP(B1177,I!$A:$D,4,FALSE))</f>
        <v>65.489999999999995</v>
      </c>
      <c r="J1177" s="80">
        <f t="shared" ref="J1177:J1182" si="56">TRUNC(H1177*I1177,2)</f>
        <v>0.76</v>
      </c>
      <c r="K1177" s="81"/>
    </row>
    <row r="1178" spans="1:13" ht="30" customHeight="1" x14ac:dyDescent="0.25">
      <c r="A1178" s="16" t="s">
        <v>306</v>
      </c>
      <c r="B1178" s="20">
        <v>9836</v>
      </c>
      <c r="C1178" s="77" t="str">
        <f>VLOOKUP(B1178,IF(A1178="COMPOSICAO",S!$A:$D,I!$A:$D),2,FALSE)</f>
        <v>TUBO PVC  SERIE NORMAL, DN 100 MM, PARA ESGOTO  PREDIAL (NBR 5688)</v>
      </c>
      <c r="D1178" s="77"/>
      <c r="E1178" s="77"/>
      <c r="F1178" s="77"/>
      <c r="G1178" s="16" t="str">
        <f>VLOOKUP(B1178,IF(A1178="COMPOSICAO",S!$A:$D,I!$A:$D),3,FALSE)</f>
        <v>M</v>
      </c>
      <c r="H1178" s="17">
        <v>1.05</v>
      </c>
      <c r="I1178" s="17">
        <f>IF(A1178="COMPOSICAO",VLOOKUP("TOTAL - "&amp;B1178,COMPOSICAO_AUX_2!$A:$J,10,FALSE),VLOOKUP(B1178,I!$A:$D,4,FALSE))</f>
        <v>13.98</v>
      </c>
      <c r="J1178" s="80">
        <f t="shared" si="56"/>
        <v>14.67</v>
      </c>
      <c r="K1178" s="81"/>
    </row>
    <row r="1179" spans="1:13" ht="30" customHeight="1" x14ac:dyDescent="0.25">
      <c r="A1179" s="16" t="s">
        <v>306</v>
      </c>
      <c r="B1179" s="20">
        <v>20083</v>
      </c>
      <c r="C1179" s="77" t="str">
        <f>VLOOKUP(B1179,IF(A1179="COMPOSICAO",S!$A:$D,I!$A:$D),2,FALSE)</f>
        <v>SOLUCAO LIMPADORA PARA PVC, FRASCO COM 1000 CM3</v>
      </c>
      <c r="D1179" s="77"/>
      <c r="E1179" s="77"/>
      <c r="F1179" s="77"/>
      <c r="G1179" s="16" t="str">
        <f>VLOOKUP(B1179,IF(A1179="COMPOSICAO",S!$A:$D,I!$A:$D),3,FALSE)</f>
        <v>UN</v>
      </c>
      <c r="H1179" s="29">
        <v>1.9099999999999999E-2</v>
      </c>
      <c r="I1179" s="17">
        <f>IF(A1179="COMPOSICAO",VLOOKUP("TOTAL - "&amp;B1179,COMPOSICAO_AUX_2!$A:$J,10,FALSE),VLOOKUP(B1179,I!$A:$D,4,FALSE))</f>
        <v>56.87</v>
      </c>
      <c r="J1179" s="80">
        <f t="shared" si="56"/>
        <v>1.08</v>
      </c>
      <c r="K1179" s="81"/>
    </row>
    <row r="1180" spans="1:13" ht="15" customHeight="1" x14ac:dyDescent="0.25">
      <c r="A1180" s="16" t="s">
        <v>306</v>
      </c>
      <c r="B1180" s="20">
        <v>38383</v>
      </c>
      <c r="C1180" s="77" t="str">
        <f>VLOOKUP(B1180,IF(A1180="COMPOSICAO",S!$A:$D,I!$A:$D),2,FALSE)</f>
        <v>LIXA D'AGUA EM FOLHA, GRAO 100</v>
      </c>
      <c r="D1180" s="77"/>
      <c r="E1180" s="77"/>
      <c r="F1180" s="77"/>
      <c r="G1180" s="16" t="str">
        <f>VLOOKUP(B1180,IF(A1180="COMPOSICAO",S!$A:$D,I!$A:$D),3,FALSE)</f>
        <v>UN</v>
      </c>
      <c r="H1180" s="30">
        <v>5.2999999999999999E-2</v>
      </c>
      <c r="I1180" s="17">
        <f>IF(A1180="COMPOSICAO",VLOOKUP("TOTAL - "&amp;B1180,COMPOSICAO_AUX_2!$A:$J,10,FALSE),VLOOKUP(B1180,I!$A:$D,4,FALSE))</f>
        <v>2.06</v>
      </c>
      <c r="J1180" s="80">
        <f t="shared" si="56"/>
        <v>0.1</v>
      </c>
      <c r="K1180" s="81"/>
    </row>
    <row r="1181" spans="1:13" ht="30" customHeight="1" x14ac:dyDescent="0.25">
      <c r="A1181" s="16" t="s">
        <v>302</v>
      </c>
      <c r="B1181" s="20">
        <v>88248</v>
      </c>
      <c r="C1181" s="77" t="str">
        <f>VLOOKUP(B1181,IF(A1181="COMPOSICAO",S!$A:$D,I!$A:$D),2,FALSE)</f>
        <v>AUXILIAR DE ENCANADOR OU BOMBEIRO HIDRÁULICO COM ENCARGOS COMPLEMENTARES</v>
      </c>
      <c r="D1181" s="77"/>
      <c r="E1181" s="77"/>
      <c r="F1181" s="77"/>
      <c r="G1181" s="16" t="str">
        <f>VLOOKUP(B1181,IF(A1181="COMPOSICAO",S!$A:$D,I!$A:$D),3,FALSE)</f>
        <v>H</v>
      </c>
      <c r="H1181" s="17">
        <v>0.16</v>
      </c>
      <c r="I1181" s="17">
        <f>IF(A1181="COMPOSICAO",VLOOKUP("TOTAL - "&amp;B1181,COMPOSICAO_AUX_2!$A:$J,10,FALSE),VLOOKUP(B1181,I!$A:$D,4,FALSE))</f>
        <v>14.96</v>
      </c>
      <c r="J1181" s="80">
        <f t="shared" si="56"/>
        <v>2.39</v>
      </c>
      <c r="K1181" s="81"/>
    </row>
    <row r="1182" spans="1:13" ht="30" customHeight="1" x14ac:dyDescent="0.25">
      <c r="A1182" s="16" t="s">
        <v>302</v>
      </c>
      <c r="B1182" s="20">
        <v>88267</v>
      </c>
      <c r="C1182" s="77" t="str">
        <f>VLOOKUP(B1182,IF(A1182="COMPOSICAO",S!$A:$D,I!$A:$D),2,FALSE)</f>
        <v>ENCANADOR OU BOMBEIRO HIDRÁULICO COM ENCARGOS COMPLEMENTARES</v>
      </c>
      <c r="D1182" s="77"/>
      <c r="E1182" s="77"/>
      <c r="F1182" s="77"/>
      <c r="G1182" s="16" t="str">
        <f>VLOOKUP(B1182,IF(A1182="COMPOSICAO",S!$A:$D,I!$A:$D),3,FALSE)</f>
        <v>H</v>
      </c>
      <c r="H1182" s="17">
        <v>0.16</v>
      </c>
      <c r="I1182" s="17">
        <f>IF(A1182="COMPOSICAO",VLOOKUP("TOTAL - "&amp;B1182,COMPOSICAO_AUX_2!$A:$J,10,FALSE),VLOOKUP(B1182,I!$A:$D,4,FALSE))</f>
        <v>19.37</v>
      </c>
      <c r="J1182" s="80">
        <f t="shared" si="56"/>
        <v>3.09</v>
      </c>
      <c r="K1182" s="81"/>
    </row>
    <row r="1183" spans="1:13" ht="15" customHeight="1" x14ac:dyDescent="0.25">
      <c r="A1183" s="23" t="s">
        <v>687</v>
      </c>
      <c r="B1183" s="24"/>
      <c r="C1183" s="24"/>
      <c r="D1183" s="24"/>
      <c r="E1183" s="24"/>
      <c r="F1183" s="24"/>
      <c r="G1183" s="25"/>
      <c r="H1183" s="26"/>
      <c r="I1183" s="27"/>
      <c r="J1183" s="80">
        <f>SUM(J1176:K1182)</f>
        <v>22.09</v>
      </c>
      <c r="K1183" s="81"/>
    </row>
    <row r="1184" spans="1:13" ht="15" customHeight="1" x14ac:dyDescent="0.25">
      <c r="A1184" s="3"/>
      <c r="B1184" s="3"/>
      <c r="C1184" s="3"/>
      <c r="D1184" s="3"/>
      <c r="E1184" s="3"/>
      <c r="F1184" s="3"/>
      <c r="G1184" s="3"/>
      <c r="H1184" s="3"/>
      <c r="I1184" s="3"/>
      <c r="J1184" s="3"/>
      <c r="K1184" s="3"/>
    </row>
    <row r="1185" spans="1:13" ht="15" customHeight="1" x14ac:dyDescent="0.25">
      <c r="A1185" s="10" t="s">
        <v>295</v>
      </c>
      <c r="B1185" s="10" t="s">
        <v>31</v>
      </c>
      <c r="C1185" s="82" t="s">
        <v>7</v>
      </c>
      <c r="D1185" s="83"/>
      <c r="E1185" s="83"/>
      <c r="F1185" s="83"/>
      <c r="G1185" s="6" t="s">
        <v>32</v>
      </c>
      <c r="H1185" s="6" t="s">
        <v>296</v>
      </c>
      <c r="I1185" s="6" t="s">
        <v>297</v>
      </c>
      <c r="J1185" s="57" t="s">
        <v>9</v>
      </c>
      <c r="K1185" s="58"/>
    </row>
    <row r="1186" spans="1:13" ht="60" customHeight="1" x14ac:dyDescent="0.25">
      <c r="A1186" s="6" t="s">
        <v>413</v>
      </c>
      <c r="B1186" s="28">
        <v>89810</v>
      </c>
      <c r="C1186" s="91" t="str">
        <f>VLOOKUP(B1186,S!$A:$D,2,FALSE)</f>
        <v>JOELHO 45 GRAUS, PVC, SERIE NORMAL, ESGOTO PREDIAL, DN 100 MM, JUNTA ELÁSTICA, FORNECIDO E INSTALADO EM PRUMADA DE ESGOTO SANITÁRIO OU VENTILAÇÃO. AF_12/2014</v>
      </c>
      <c r="D1186" s="91"/>
      <c r="E1186" s="91"/>
      <c r="F1186" s="92"/>
      <c r="G1186" s="6" t="str">
        <f>VLOOKUP(B1186,S!$A:$D,3,FALSE)</f>
        <v>UN</v>
      </c>
      <c r="H1186" s="21"/>
      <c r="I1186" s="21">
        <f>J1192</f>
        <v>16.559999999999999</v>
      </c>
      <c r="J1186" s="76"/>
      <c r="K1186" s="72"/>
      <c r="L1186" s="21">
        <f>VLOOKUP(B1186,S!$A:$D,4,FALSE)</f>
        <v>16.559999999999999</v>
      </c>
      <c r="M1186" s="6" t="str">
        <f>IF(ROUND((L1186-I1186),2)=0,"OK, confere com a tabela.",IF(ROUND((L1186-I1186),2)&lt;0,"ACIMA ("&amp;TEXT(ROUND(I1186*100/L1186,4),"0,0000")&amp;" %) da tabela.","ABAIXO ("&amp;TEXT(ROUND(I1186*100/L1186,4),"0,0000")&amp;" %) da tabela."))</f>
        <v>OK, confere com a tabela.</v>
      </c>
    </row>
    <row r="1187" spans="1:13" ht="30" customHeight="1" x14ac:dyDescent="0.25">
      <c r="A1187" s="16" t="s">
        <v>306</v>
      </c>
      <c r="B1187" s="20">
        <v>301</v>
      </c>
      <c r="C1187" s="77" t="str">
        <f>VLOOKUP(B1187,IF(A1187="COMPOSICAO",S!$A:$D,I!$A:$D),2,FALSE)</f>
        <v>ANEL BORRACHA PARA TUBO ESGOTO PREDIAL, DN 100 MM (NBR 5688)</v>
      </c>
      <c r="D1187" s="77"/>
      <c r="E1187" s="77"/>
      <c r="F1187" s="77"/>
      <c r="G1187" s="16" t="str">
        <f>VLOOKUP(B1187,IF(A1187="COMPOSICAO",S!$A:$D,I!$A:$D),3,FALSE)</f>
        <v>UN</v>
      </c>
      <c r="H1187" s="17">
        <v>1</v>
      </c>
      <c r="I1187" s="17">
        <f>IF(A1187="COMPOSICAO",VLOOKUP("TOTAL - "&amp;B1187,COMPOSICAO_AUX_2!$A:$J,10,FALSE),VLOOKUP(B1187,I!$A:$D,4,FALSE))</f>
        <v>3.46</v>
      </c>
      <c r="J1187" s="80">
        <f>TRUNC(H1187*I1187,2)</f>
        <v>3.46</v>
      </c>
      <c r="K1187" s="81"/>
    </row>
    <row r="1188" spans="1:13" ht="30" customHeight="1" x14ac:dyDescent="0.25">
      <c r="A1188" s="16" t="s">
        <v>306</v>
      </c>
      <c r="B1188" s="20">
        <v>3528</v>
      </c>
      <c r="C1188" s="77" t="str">
        <f>VLOOKUP(B1188,IF(A1188="COMPOSICAO",S!$A:$D,I!$A:$D),2,FALSE)</f>
        <v>JOELHO PVC, SOLDAVEL, PB, 45 GRAUS, DN 100 MM, PARA ESGOTO PREDIAL</v>
      </c>
      <c r="D1188" s="77"/>
      <c r="E1188" s="77"/>
      <c r="F1188" s="77"/>
      <c r="G1188" s="16" t="str">
        <f>VLOOKUP(B1188,IF(A1188="COMPOSICAO",S!$A:$D,I!$A:$D),3,FALSE)</f>
        <v>UN</v>
      </c>
      <c r="H1188" s="17">
        <v>1</v>
      </c>
      <c r="I1188" s="17">
        <f>IF(A1188="COMPOSICAO",VLOOKUP("TOTAL - "&amp;B1188,COMPOSICAO_AUX_2!$A:$J,10,FALSE),VLOOKUP(B1188,I!$A:$D,4,FALSE))</f>
        <v>7.89</v>
      </c>
      <c r="J1188" s="80">
        <f>TRUNC(H1188*I1188,2)</f>
        <v>7.89</v>
      </c>
      <c r="K1188" s="81"/>
    </row>
    <row r="1189" spans="1:13" ht="45" customHeight="1" x14ac:dyDescent="0.25">
      <c r="A1189" s="16" t="s">
        <v>306</v>
      </c>
      <c r="B1189" s="20">
        <v>20078</v>
      </c>
      <c r="C1189" s="77" t="str">
        <f>VLOOKUP(B1189,IF(A1189="COMPOSICAO",S!$A:$D,I!$A:$D),2,FALSE)</f>
        <v>PASTA LUBRIFICANTE PARA TUBOS E CONEXOES COM JUNTA ELASTICA (USO EM PVC, ACO, POLIETILENO E OUTROS) ( DE *400* G)</v>
      </c>
      <c r="D1189" s="77"/>
      <c r="E1189" s="77"/>
      <c r="F1189" s="77"/>
      <c r="G1189" s="16" t="str">
        <f>VLOOKUP(B1189,IF(A1189="COMPOSICAO",S!$A:$D,I!$A:$D),3,FALSE)</f>
        <v>UN</v>
      </c>
      <c r="H1189" s="30">
        <v>4.5999999999999999E-2</v>
      </c>
      <c r="I1189" s="17">
        <f>IF(A1189="COMPOSICAO",VLOOKUP("TOTAL - "&amp;B1189,COMPOSICAO_AUX_2!$A:$J,10,FALSE),VLOOKUP(B1189,I!$A:$D,4,FALSE))</f>
        <v>23.98</v>
      </c>
      <c r="J1189" s="80">
        <f>TRUNC(H1189*I1189,2)</f>
        <v>1.1000000000000001</v>
      </c>
      <c r="K1189" s="81"/>
    </row>
    <row r="1190" spans="1:13" ht="30" customHeight="1" x14ac:dyDescent="0.25">
      <c r="A1190" s="16" t="s">
        <v>302</v>
      </c>
      <c r="B1190" s="20">
        <v>88248</v>
      </c>
      <c r="C1190" s="77" t="str">
        <f>VLOOKUP(B1190,IF(A1190="COMPOSICAO",S!$A:$D,I!$A:$D),2,FALSE)</f>
        <v>AUXILIAR DE ENCANADOR OU BOMBEIRO HIDRÁULICO COM ENCARGOS COMPLEMENTARES</v>
      </c>
      <c r="D1190" s="77"/>
      <c r="E1190" s="77"/>
      <c r="F1190" s="77"/>
      <c r="G1190" s="16" t="str">
        <f>VLOOKUP(B1190,IF(A1190="COMPOSICAO",S!$A:$D,I!$A:$D),3,FALSE)</f>
        <v>H</v>
      </c>
      <c r="H1190" s="17">
        <v>0.12</v>
      </c>
      <c r="I1190" s="17">
        <f>IF(A1190="COMPOSICAO",VLOOKUP("TOTAL - "&amp;B1190,COMPOSICAO_AUX_2!$A:$J,10,FALSE),VLOOKUP(B1190,I!$A:$D,4,FALSE))</f>
        <v>14.96</v>
      </c>
      <c r="J1190" s="80">
        <f>TRUNC(H1190*I1190,2)</f>
        <v>1.79</v>
      </c>
      <c r="K1190" s="81"/>
    </row>
    <row r="1191" spans="1:13" ht="30" customHeight="1" x14ac:dyDescent="0.25">
      <c r="A1191" s="16" t="s">
        <v>302</v>
      </c>
      <c r="B1191" s="20">
        <v>88267</v>
      </c>
      <c r="C1191" s="77" t="str">
        <f>VLOOKUP(B1191,IF(A1191="COMPOSICAO",S!$A:$D,I!$A:$D),2,FALSE)</f>
        <v>ENCANADOR OU BOMBEIRO HIDRÁULICO COM ENCARGOS COMPLEMENTARES</v>
      </c>
      <c r="D1191" s="77"/>
      <c r="E1191" s="77"/>
      <c r="F1191" s="77"/>
      <c r="G1191" s="16" t="str">
        <f>VLOOKUP(B1191,IF(A1191="COMPOSICAO",S!$A:$D,I!$A:$D),3,FALSE)</f>
        <v>H</v>
      </c>
      <c r="H1191" s="17">
        <v>0.12</v>
      </c>
      <c r="I1191" s="17">
        <f>IF(A1191="COMPOSICAO",VLOOKUP("TOTAL - "&amp;B1191,COMPOSICAO_AUX_2!$A:$J,10,FALSE),VLOOKUP(B1191,I!$A:$D,4,FALSE))</f>
        <v>19.37</v>
      </c>
      <c r="J1191" s="80">
        <f>TRUNC(H1191*I1191,2)</f>
        <v>2.3199999999999998</v>
      </c>
      <c r="K1191" s="81"/>
    </row>
    <row r="1192" spans="1:13" ht="15" customHeight="1" x14ac:dyDescent="0.25">
      <c r="A1192" s="23" t="s">
        <v>688</v>
      </c>
      <c r="B1192" s="24"/>
      <c r="C1192" s="24"/>
      <c r="D1192" s="24"/>
      <c r="E1192" s="24"/>
      <c r="F1192" s="24"/>
      <c r="G1192" s="25"/>
      <c r="H1192" s="26"/>
      <c r="I1192" s="27"/>
      <c r="J1192" s="80">
        <f>SUM(J1186:K1191)</f>
        <v>16.559999999999999</v>
      </c>
      <c r="K1192" s="81"/>
    </row>
    <row r="1193" spans="1:13" ht="15" customHeight="1" x14ac:dyDescent="0.25">
      <c r="A1193" s="3"/>
      <c r="B1193" s="3"/>
      <c r="C1193" s="3"/>
      <c r="D1193" s="3"/>
      <c r="E1193" s="3"/>
      <c r="F1193" s="3"/>
      <c r="G1193" s="3"/>
      <c r="H1193" s="3"/>
      <c r="I1193" s="3"/>
      <c r="J1193" s="3"/>
      <c r="K1193" s="3"/>
    </row>
    <row r="1194" spans="1:13" ht="15" customHeight="1" x14ac:dyDescent="0.25">
      <c r="A1194" s="10" t="s">
        <v>295</v>
      </c>
      <c r="B1194" s="10" t="s">
        <v>31</v>
      </c>
      <c r="C1194" s="82" t="s">
        <v>7</v>
      </c>
      <c r="D1194" s="83"/>
      <c r="E1194" s="83"/>
      <c r="F1194" s="83"/>
      <c r="G1194" s="6" t="s">
        <v>32</v>
      </c>
      <c r="H1194" s="6" t="s">
        <v>296</v>
      </c>
      <c r="I1194" s="6" t="s">
        <v>297</v>
      </c>
      <c r="J1194" s="57" t="s">
        <v>9</v>
      </c>
      <c r="K1194" s="58"/>
    </row>
    <row r="1195" spans="1:13" ht="60" customHeight="1" x14ac:dyDescent="0.25">
      <c r="A1195" s="6" t="s">
        <v>413</v>
      </c>
      <c r="B1195" s="28">
        <v>89821</v>
      </c>
      <c r="C1195" s="91" t="str">
        <f>VLOOKUP(B1195,S!$A:$D,2,FALSE)</f>
        <v>LUVA SIMPLES, PVC, SERIE NORMAL, ESGOTO PREDIAL, DN 100 MM, JUNTA ELÁSTICA, FORNECIDO E INSTALADO EM PRUMADA DE ESGOTO SANITÁRIO OU VENTILAÇÃO. AF_12/2014</v>
      </c>
      <c r="D1195" s="91"/>
      <c r="E1195" s="91"/>
      <c r="F1195" s="92"/>
      <c r="G1195" s="6" t="str">
        <f>VLOOKUP(B1195,S!$A:$D,3,FALSE)</f>
        <v>UN</v>
      </c>
      <c r="H1195" s="21"/>
      <c r="I1195" s="21">
        <f>J1201</f>
        <v>13.349999999999998</v>
      </c>
      <c r="J1195" s="76"/>
      <c r="K1195" s="72"/>
      <c r="L1195" s="21">
        <f>VLOOKUP(B1195,S!$A:$D,4,FALSE)</f>
        <v>13.35</v>
      </c>
      <c r="M1195" s="6" t="str">
        <f>IF(ROUND((L1195-I1195),2)=0,"OK, confere com a tabela.",IF(ROUND((L1195-I1195),2)&lt;0,"ACIMA ("&amp;TEXT(ROUND(I1195*100/L1195,4),"0,0000")&amp;" %) da tabela.","ABAIXO ("&amp;TEXT(ROUND(I1195*100/L1195,4),"0,0000")&amp;" %) da tabela."))</f>
        <v>OK, confere com a tabela.</v>
      </c>
    </row>
    <row r="1196" spans="1:13" ht="30" customHeight="1" x14ac:dyDescent="0.25">
      <c r="A1196" s="16" t="s">
        <v>306</v>
      </c>
      <c r="B1196" s="20">
        <v>301</v>
      </c>
      <c r="C1196" s="77" t="str">
        <f>VLOOKUP(B1196,IF(A1196="COMPOSICAO",S!$A:$D,I!$A:$D),2,FALSE)</f>
        <v>ANEL BORRACHA PARA TUBO ESGOTO PREDIAL, DN 100 MM (NBR 5688)</v>
      </c>
      <c r="D1196" s="77"/>
      <c r="E1196" s="77"/>
      <c r="F1196" s="77"/>
      <c r="G1196" s="16" t="str">
        <f>VLOOKUP(B1196,IF(A1196="COMPOSICAO",S!$A:$D,I!$A:$D),3,FALSE)</f>
        <v>UN</v>
      </c>
      <c r="H1196" s="17">
        <v>1</v>
      </c>
      <c r="I1196" s="17">
        <f>IF(A1196="COMPOSICAO",VLOOKUP("TOTAL - "&amp;B1196,COMPOSICAO_AUX_2!$A:$J,10,FALSE),VLOOKUP(B1196,I!$A:$D,4,FALSE))</f>
        <v>3.46</v>
      </c>
      <c r="J1196" s="80">
        <f>TRUNC(H1196*I1196,2)</f>
        <v>3.46</v>
      </c>
      <c r="K1196" s="81"/>
    </row>
    <row r="1197" spans="1:13" ht="30" customHeight="1" x14ac:dyDescent="0.25">
      <c r="A1197" s="16" t="s">
        <v>306</v>
      </c>
      <c r="B1197" s="20">
        <v>3899</v>
      </c>
      <c r="C1197" s="77" t="str">
        <f>VLOOKUP(B1197,IF(A1197="COMPOSICAO",S!$A:$D,I!$A:$D),2,FALSE)</f>
        <v>LUVA SIMPLES, PVC, SOLDAVEL, DN 100 MM, SERIE NORMAL, PARA ESGOTO PREDIAL</v>
      </c>
      <c r="D1197" s="77"/>
      <c r="E1197" s="77"/>
      <c r="F1197" s="77"/>
      <c r="G1197" s="16" t="str">
        <f>VLOOKUP(B1197,IF(A1197="COMPOSICAO",S!$A:$D,I!$A:$D),3,FALSE)</f>
        <v>UN</v>
      </c>
      <c r="H1197" s="17">
        <v>1</v>
      </c>
      <c r="I1197" s="17">
        <f>IF(A1197="COMPOSICAO",VLOOKUP("TOTAL - "&amp;B1197,COMPOSICAO_AUX_2!$A:$J,10,FALSE),VLOOKUP(B1197,I!$A:$D,4,FALSE))</f>
        <v>6.06</v>
      </c>
      <c r="J1197" s="80">
        <f>TRUNC(H1197*I1197,2)</f>
        <v>6.06</v>
      </c>
      <c r="K1197" s="81"/>
    </row>
    <row r="1198" spans="1:13" ht="45" customHeight="1" x14ac:dyDescent="0.25">
      <c r="A1198" s="16" t="s">
        <v>306</v>
      </c>
      <c r="B1198" s="20">
        <v>20078</v>
      </c>
      <c r="C1198" s="77" t="str">
        <f>VLOOKUP(B1198,IF(A1198="COMPOSICAO",S!$A:$D,I!$A:$D),2,FALSE)</f>
        <v>PASTA LUBRIFICANTE PARA TUBOS E CONEXOES COM JUNTA ELASTICA (USO EM PVC, ACO, POLIETILENO E OUTROS) ( DE *400* G)</v>
      </c>
      <c r="D1198" s="77"/>
      <c r="E1198" s="77"/>
      <c r="F1198" s="77"/>
      <c r="G1198" s="16" t="str">
        <f>VLOOKUP(B1198,IF(A1198="COMPOSICAO",S!$A:$D,I!$A:$D),3,FALSE)</f>
        <v>UN</v>
      </c>
      <c r="H1198" s="30">
        <v>4.5999999999999999E-2</v>
      </c>
      <c r="I1198" s="17">
        <f>IF(A1198="COMPOSICAO",VLOOKUP("TOTAL - "&amp;B1198,COMPOSICAO_AUX_2!$A:$J,10,FALSE),VLOOKUP(B1198,I!$A:$D,4,FALSE))</f>
        <v>23.98</v>
      </c>
      <c r="J1198" s="80">
        <f>TRUNC(H1198*I1198,2)</f>
        <v>1.1000000000000001</v>
      </c>
      <c r="K1198" s="81"/>
    </row>
    <row r="1199" spans="1:13" ht="30" customHeight="1" x14ac:dyDescent="0.25">
      <c r="A1199" s="16" t="s">
        <v>302</v>
      </c>
      <c r="B1199" s="20">
        <v>88248</v>
      </c>
      <c r="C1199" s="77" t="str">
        <f>VLOOKUP(B1199,IF(A1199="COMPOSICAO",S!$A:$D,I!$A:$D),2,FALSE)</f>
        <v>AUXILIAR DE ENCANADOR OU BOMBEIRO HIDRÁULICO COM ENCARGOS COMPLEMENTARES</v>
      </c>
      <c r="D1199" s="77"/>
      <c r="E1199" s="77"/>
      <c r="F1199" s="77"/>
      <c r="G1199" s="16" t="str">
        <f>VLOOKUP(B1199,IF(A1199="COMPOSICAO",S!$A:$D,I!$A:$D),3,FALSE)</f>
        <v>H</v>
      </c>
      <c r="H1199" s="17">
        <v>0.08</v>
      </c>
      <c r="I1199" s="17">
        <f>IF(A1199="COMPOSICAO",VLOOKUP("TOTAL - "&amp;B1199,COMPOSICAO_AUX_2!$A:$J,10,FALSE),VLOOKUP(B1199,I!$A:$D,4,FALSE))</f>
        <v>14.96</v>
      </c>
      <c r="J1199" s="80">
        <f>TRUNC(H1199*I1199,2)</f>
        <v>1.19</v>
      </c>
      <c r="K1199" s="81"/>
    </row>
    <row r="1200" spans="1:13" ht="30" customHeight="1" x14ac:dyDescent="0.25">
      <c r="A1200" s="16" t="s">
        <v>302</v>
      </c>
      <c r="B1200" s="20">
        <v>88267</v>
      </c>
      <c r="C1200" s="77" t="str">
        <f>VLOOKUP(B1200,IF(A1200="COMPOSICAO",S!$A:$D,I!$A:$D),2,FALSE)</f>
        <v>ENCANADOR OU BOMBEIRO HIDRÁULICO COM ENCARGOS COMPLEMENTARES</v>
      </c>
      <c r="D1200" s="77"/>
      <c r="E1200" s="77"/>
      <c r="F1200" s="77"/>
      <c r="G1200" s="16" t="str">
        <f>VLOOKUP(B1200,IF(A1200="COMPOSICAO",S!$A:$D,I!$A:$D),3,FALSE)</f>
        <v>H</v>
      </c>
      <c r="H1200" s="17">
        <v>0.08</v>
      </c>
      <c r="I1200" s="17">
        <f>IF(A1200="COMPOSICAO",VLOOKUP("TOTAL - "&amp;B1200,COMPOSICAO_AUX_2!$A:$J,10,FALSE),VLOOKUP(B1200,I!$A:$D,4,FALSE))</f>
        <v>19.37</v>
      </c>
      <c r="J1200" s="80">
        <f>TRUNC(H1200*I1200,2)</f>
        <v>1.54</v>
      </c>
      <c r="K1200" s="81"/>
    </row>
    <row r="1201" spans="1:13" ht="15" customHeight="1" x14ac:dyDescent="0.25">
      <c r="A1201" s="23" t="s">
        <v>689</v>
      </c>
      <c r="B1201" s="24"/>
      <c r="C1201" s="24"/>
      <c r="D1201" s="24"/>
      <c r="E1201" s="24"/>
      <c r="F1201" s="24"/>
      <c r="G1201" s="25"/>
      <c r="H1201" s="26"/>
      <c r="I1201" s="27"/>
      <c r="J1201" s="80">
        <f>SUM(J1195:K1200)</f>
        <v>13.349999999999998</v>
      </c>
      <c r="K1201" s="81"/>
    </row>
    <row r="1202" spans="1:13" ht="15" customHeight="1" x14ac:dyDescent="0.25">
      <c r="A1202" s="3"/>
      <c r="B1202" s="3"/>
      <c r="C1202" s="3"/>
      <c r="D1202" s="3"/>
      <c r="E1202" s="3"/>
      <c r="F1202" s="3"/>
      <c r="G1202" s="3"/>
      <c r="H1202" s="3"/>
      <c r="I1202" s="3"/>
      <c r="J1202" s="3"/>
      <c r="K1202" s="3"/>
    </row>
    <row r="1203" spans="1:13" ht="15" customHeight="1" x14ac:dyDescent="0.25">
      <c r="A1203" s="10" t="s">
        <v>295</v>
      </c>
      <c r="B1203" s="10" t="s">
        <v>31</v>
      </c>
      <c r="C1203" s="82" t="s">
        <v>7</v>
      </c>
      <c r="D1203" s="83"/>
      <c r="E1203" s="83"/>
      <c r="F1203" s="83"/>
      <c r="G1203" s="6" t="s">
        <v>32</v>
      </c>
      <c r="H1203" s="6" t="s">
        <v>296</v>
      </c>
      <c r="I1203" s="6" t="s">
        <v>297</v>
      </c>
      <c r="J1203" s="57" t="s">
        <v>9</v>
      </c>
      <c r="K1203" s="58"/>
    </row>
    <row r="1204" spans="1:13" ht="60" customHeight="1" x14ac:dyDescent="0.25">
      <c r="A1204" s="6" t="s">
        <v>413</v>
      </c>
      <c r="B1204" s="28">
        <v>89833</v>
      </c>
      <c r="C1204" s="91" t="str">
        <f>VLOOKUP(B1204,S!$A:$D,2,FALSE)</f>
        <v>TE, PVC, SERIE NORMAL, ESGOTO PREDIAL, DN 100 X 100 MM, JUNTA ELÁSTICA, FORNECIDO E INSTALADO EM PRUMADA DE ESGOTO SANITÁRIO OU VENTILAÇÃO. AF_12/2014</v>
      </c>
      <c r="D1204" s="91"/>
      <c r="E1204" s="91"/>
      <c r="F1204" s="92"/>
      <c r="G1204" s="6" t="str">
        <f>VLOOKUP(B1204,S!$A:$D,3,FALSE)</f>
        <v>UN</v>
      </c>
      <c r="H1204" s="21"/>
      <c r="I1204" s="21">
        <f>J1210</f>
        <v>29.86</v>
      </c>
      <c r="J1204" s="76"/>
      <c r="K1204" s="72"/>
      <c r="L1204" s="21">
        <f>VLOOKUP(B1204,S!$A:$D,4,FALSE)</f>
        <v>29.86</v>
      </c>
      <c r="M1204" s="6" t="str">
        <f>IF(ROUND((L1204-I1204),2)=0,"OK, confere com a tabela.",IF(ROUND((L1204-I1204),2)&lt;0,"ACIMA ("&amp;TEXT(ROUND(I1204*100/L1204,4),"0,0000")&amp;" %) da tabela.","ABAIXO ("&amp;TEXT(ROUND(I1204*100/L1204,4),"0,0000")&amp;" %) da tabela."))</f>
        <v>OK, confere com a tabela.</v>
      </c>
    </row>
    <row r="1205" spans="1:13" ht="30" customHeight="1" x14ac:dyDescent="0.25">
      <c r="A1205" s="16" t="s">
        <v>306</v>
      </c>
      <c r="B1205" s="20">
        <v>301</v>
      </c>
      <c r="C1205" s="77" t="str">
        <f>VLOOKUP(B1205,IF(A1205="COMPOSICAO",S!$A:$D,I!$A:$D),2,FALSE)</f>
        <v>ANEL BORRACHA PARA TUBO ESGOTO PREDIAL, DN 100 MM (NBR 5688)</v>
      </c>
      <c r="D1205" s="77"/>
      <c r="E1205" s="77"/>
      <c r="F1205" s="77"/>
      <c r="G1205" s="16" t="str">
        <f>VLOOKUP(B1205,IF(A1205="COMPOSICAO",S!$A:$D,I!$A:$D),3,FALSE)</f>
        <v>UN</v>
      </c>
      <c r="H1205" s="17">
        <v>2</v>
      </c>
      <c r="I1205" s="17">
        <f>IF(A1205="COMPOSICAO",VLOOKUP("TOTAL - "&amp;B1205,COMPOSICAO_AUX_2!$A:$J,10,FALSE),VLOOKUP(B1205,I!$A:$D,4,FALSE))</f>
        <v>3.46</v>
      </c>
      <c r="J1205" s="80">
        <f>TRUNC(H1205*I1205,2)</f>
        <v>6.92</v>
      </c>
      <c r="K1205" s="81"/>
    </row>
    <row r="1206" spans="1:13" ht="30" customHeight="1" x14ac:dyDescent="0.25">
      <c r="A1206" s="16" t="s">
        <v>306</v>
      </c>
      <c r="B1206" s="20">
        <v>7091</v>
      </c>
      <c r="C1206" s="77" t="str">
        <f>VLOOKUP(B1206,IF(A1206="COMPOSICAO",S!$A:$D,I!$A:$D),2,FALSE)</f>
        <v>TE SANITARIO, PVC, DN 100 X 100 MM, SERIE NORMAL, PARA ESGOTO PREDIAL</v>
      </c>
      <c r="D1206" s="77"/>
      <c r="E1206" s="77"/>
      <c r="F1206" s="77"/>
      <c r="G1206" s="16" t="str">
        <f>VLOOKUP(B1206,IF(A1206="COMPOSICAO",S!$A:$D,I!$A:$D),3,FALSE)</f>
        <v>UN</v>
      </c>
      <c r="H1206" s="17">
        <v>1</v>
      </c>
      <c r="I1206" s="17">
        <f>IF(A1206="COMPOSICAO",VLOOKUP("TOTAL - "&amp;B1206,COMPOSICAO_AUX_2!$A:$J,10,FALSE),VLOOKUP(B1206,I!$A:$D,4,FALSE))</f>
        <v>15.26</v>
      </c>
      <c r="J1206" s="80">
        <f>TRUNC(H1206*I1206,2)</f>
        <v>15.26</v>
      </c>
      <c r="K1206" s="81"/>
    </row>
    <row r="1207" spans="1:13" ht="45" customHeight="1" x14ac:dyDescent="0.25">
      <c r="A1207" s="16" t="s">
        <v>306</v>
      </c>
      <c r="B1207" s="20">
        <v>20078</v>
      </c>
      <c r="C1207" s="77" t="str">
        <f>VLOOKUP(B1207,IF(A1207="COMPOSICAO",S!$A:$D,I!$A:$D),2,FALSE)</f>
        <v>PASTA LUBRIFICANTE PARA TUBOS E CONEXOES COM JUNTA ELASTICA (USO EM PVC, ACO, POLIETILENO E OUTROS) ( DE *400* G)</v>
      </c>
      <c r="D1207" s="77"/>
      <c r="E1207" s="77"/>
      <c r="F1207" s="77"/>
      <c r="G1207" s="16" t="str">
        <f>VLOOKUP(B1207,IF(A1207="COMPOSICAO",S!$A:$D,I!$A:$D),3,FALSE)</f>
        <v>UN</v>
      </c>
      <c r="H1207" s="30">
        <v>9.1999999999999998E-2</v>
      </c>
      <c r="I1207" s="17">
        <f>IF(A1207="COMPOSICAO",VLOOKUP("TOTAL - "&amp;B1207,COMPOSICAO_AUX_2!$A:$J,10,FALSE),VLOOKUP(B1207,I!$A:$D,4,FALSE))</f>
        <v>23.98</v>
      </c>
      <c r="J1207" s="80">
        <f>TRUNC(H1207*I1207,2)</f>
        <v>2.2000000000000002</v>
      </c>
      <c r="K1207" s="81"/>
    </row>
    <row r="1208" spans="1:13" ht="30" customHeight="1" x14ac:dyDescent="0.25">
      <c r="A1208" s="16" t="s">
        <v>302</v>
      </c>
      <c r="B1208" s="20">
        <v>88248</v>
      </c>
      <c r="C1208" s="77" t="str">
        <f>VLOOKUP(B1208,IF(A1208="COMPOSICAO",S!$A:$D,I!$A:$D),2,FALSE)</f>
        <v>AUXILIAR DE ENCANADOR OU BOMBEIRO HIDRÁULICO COM ENCARGOS COMPLEMENTARES</v>
      </c>
      <c r="D1208" s="77"/>
      <c r="E1208" s="77"/>
      <c r="F1208" s="77"/>
      <c r="G1208" s="16" t="str">
        <f>VLOOKUP(B1208,IF(A1208="COMPOSICAO",S!$A:$D,I!$A:$D),3,FALSE)</f>
        <v>H</v>
      </c>
      <c r="H1208" s="17">
        <v>0.16</v>
      </c>
      <c r="I1208" s="17">
        <f>IF(A1208="COMPOSICAO",VLOOKUP("TOTAL - "&amp;B1208,COMPOSICAO_AUX_2!$A:$J,10,FALSE),VLOOKUP(B1208,I!$A:$D,4,FALSE))</f>
        <v>14.96</v>
      </c>
      <c r="J1208" s="80">
        <f>TRUNC(H1208*I1208,2)</f>
        <v>2.39</v>
      </c>
      <c r="K1208" s="81"/>
    </row>
    <row r="1209" spans="1:13" ht="30" customHeight="1" x14ac:dyDescent="0.25">
      <c r="A1209" s="16" t="s">
        <v>302</v>
      </c>
      <c r="B1209" s="20">
        <v>88267</v>
      </c>
      <c r="C1209" s="77" t="str">
        <f>VLOOKUP(B1209,IF(A1209="COMPOSICAO",S!$A:$D,I!$A:$D),2,FALSE)</f>
        <v>ENCANADOR OU BOMBEIRO HIDRÁULICO COM ENCARGOS COMPLEMENTARES</v>
      </c>
      <c r="D1209" s="77"/>
      <c r="E1209" s="77"/>
      <c r="F1209" s="77"/>
      <c r="G1209" s="16" t="str">
        <f>VLOOKUP(B1209,IF(A1209="COMPOSICAO",S!$A:$D,I!$A:$D),3,FALSE)</f>
        <v>H</v>
      </c>
      <c r="H1209" s="17">
        <v>0.16</v>
      </c>
      <c r="I1209" s="17">
        <f>IF(A1209="COMPOSICAO",VLOOKUP("TOTAL - "&amp;B1209,COMPOSICAO_AUX_2!$A:$J,10,FALSE),VLOOKUP(B1209,I!$A:$D,4,FALSE))</f>
        <v>19.37</v>
      </c>
      <c r="J1209" s="80">
        <f>TRUNC(H1209*I1209,2)</f>
        <v>3.09</v>
      </c>
      <c r="K1209" s="81"/>
    </row>
    <row r="1210" spans="1:13" ht="15" customHeight="1" x14ac:dyDescent="0.25">
      <c r="A1210" s="23" t="s">
        <v>690</v>
      </c>
      <c r="B1210" s="24"/>
      <c r="C1210" s="24"/>
      <c r="D1210" s="24"/>
      <c r="E1210" s="24"/>
      <c r="F1210" s="24"/>
      <c r="G1210" s="25"/>
      <c r="H1210" s="26"/>
      <c r="I1210" s="27"/>
      <c r="J1210" s="80">
        <f>SUM(J1204:K1209)</f>
        <v>29.86</v>
      </c>
      <c r="K1210" s="81"/>
    </row>
    <row r="1211" spans="1:13" ht="15" customHeight="1" x14ac:dyDescent="0.25">
      <c r="A1211" s="3"/>
      <c r="B1211" s="3"/>
      <c r="C1211" s="3"/>
      <c r="D1211" s="3"/>
      <c r="E1211" s="3"/>
      <c r="F1211" s="3"/>
      <c r="G1211" s="3"/>
      <c r="H1211" s="3"/>
      <c r="I1211" s="3"/>
      <c r="J1211" s="3"/>
      <c r="K1211" s="3"/>
    </row>
    <row r="1212" spans="1:13" ht="15" customHeight="1" x14ac:dyDescent="0.25">
      <c r="A1212" s="10" t="s">
        <v>295</v>
      </c>
      <c r="B1212" s="10" t="s">
        <v>31</v>
      </c>
      <c r="C1212" s="82" t="s">
        <v>7</v>
      </c>
      <c r="D1212" s="83"/>
      <c r="E1212" s="83"/>
      <c r="F1212" s="83"/>
      <c r="G1212" s="6" t="s">
        <v>32</v>
      </c>
      <c r="H1212" s="6" t="s">
        <v>296</v>
      </c>
      <c r="I1212" s="6" t="s">
        <v>297</v>
      </c>
      <c r="J1212" s="57" t="s">
        <v>9</v>
      </c>
      <c r="K1212" s="58"/>
    </row>
    <row r="1213" spans="1:13" ht="60" customHeight="1" x14ac:dyDescent="0.25">
      <c r="A1213" s="6" t="s">
        <v>413</v>
      </c>
      <c r="B1213" s="28">
        <v>89834</v>
      </c>
      <c r="C1213" s="91" t="str">
        <f>VLOOKUP(B1213,S!$A:$D,2,FALSE)</f>
        <v>JUNÇÃO SIMPLES, PVC, SERIE NORMAL, ESGOTO PREDIAL, DN 100 X 100 MM, JUNTA ELÁSTICA, FORNECIDO E INSTALADO EM PRUMADA DE ESGOTO SANITÁRIO OU VENTILAÇÃO. AF_12/2014</v>
      </c>
      <c r="D1213" s="91"/>
      <c r="E1213" s="91"/>
      <c r="F1213" s="92"/>
      <c r="G1213" s="6" t="str">
        <f>VLOOKUP(B1213,S!$A:$D,3,FALSE)</f>
        <v>UN</v>
      </c>
      <c r="H1213" s="21"/>
      <c r="I1213" s="21">
        <f>J1219</f>
        <v>35.28</v>
      </c>
      <c r="J1213" s="76"/>
      <c r="K1213" s="72"/>
      <c r="L1213" s="21">
        <f>VLOOKUP(B1213,S!$A:$D,4,FALSE)</f>
        <v>35.28</v>
      </c>
      <c r="M1213" s="6" t="str">
        <f>IF(ROUND((L1213-I1213),2)=0,"OK, confere com a tabela.",IF(ROUND((L1213-I1213),2)&lt;0,"ACIMA ("&amp;TEXT(ROUND(I1213*100/L1213,4),"0,0000")&amp;" %) da tabela.","ABAIXO ("&amp;TEXT(ROUND(I1213*100/L1213,4),"0,0000")&amp;" %) da tabela."))</f>
        <v>OK, confere com a tabela.</v>
      </c>
    </row>
    <row r="1214" spans="1:13" ht="30" customHeight="1" x14ac:dyDescent="0.25">
      <c r="A1214" s="16" t="s">
        <v>306</v>
      </c>
      <c r="B1214" s="20">
        <v>301</v>
      </c>
      <c r="C1214" s="77" t="str">
        <f>VLOOKUP(B1214,IF(A1214="COMPOSICAO",S!$A:$D,I!$A:$D),2,FALSE)</f>
        <v>ANEL BORRACHA PARA TUBO ESGOTO PREDIAL, DN 100 MM (NBR 5688)</v>
      </c>
      <c r="D1214" s="77"/>
      <c r="E1214" s="77"/>
      <c r="F1214" s="77"/>
      <c r="G1214" s="16" t="str">
        <f>VLOOKUP(B1214,IF(A1214="COMPOSICAO",S!$A:$D,I!$A:$D),3,FALSE)</f>
        <v>UN</v>
      </c>
      <c r="H1214" s="17">
        <v>2</v>
      </c>
      <c r="I1214" s="17">
        <f>IF(A1214="COMPOSICAO",VLOOKUP("TOTAL - "&amp;B1214,COMPOSICAO_AUX_2!$A:$J,10,FALSE),VLOOKUP(B1214,I!$A:$D,4,FALSE))</f>
        <v>3.46</v>
      </c>
      <c r="J1214" s="80">
        <f>TRUNC(H1214*I1214,2)</f>
        <v>6.92</v>
      </c>
      <c r="K1214" s="81"/>
    </row>
    <row r="1215" spans="1:13" ht="30" customHeight="1" x14ac:dyDescent="0.25">
      <c r="A1215" s="16" t="s">
        <v>306</v>
      </c>
      <c r="B1215" s="20">
        <v>3670</v>
      </c>
      <c r="C1215" s="77" t="str">
        <f>VLOOKUP(B1215,IF(A1215="COMPOSICAO",S!$A:$D,I!$A:$D),2,FALSE)</f>
        <v>JUNCAO SIMPLES, PVC, 45 GRAUS, DN 100 X 100 MM, SERIE NORMAL PARA ESGOTO PREDIAL</v>
      </c>
      <c r="D1215" s="77"/>
      <c r="E1215" s="77"/>
      <c r="F1215" s="77"/>
      <c r="G1215" s="16" t="str">
        <f>VLOOKUP(B1215,IF(A1215="COMPOSICAO",S!$A:$D,I!$A:$D),3,FALSE)</f>
        <v>UN</v>
      </c>
      <c r="H1215" s="17">
        <v>1</v>
      </c>
      <c r="I1215" s="17">
        <f>IF(A1215="COMPOSICAO",VLOOKUP("TOTAL - "&amp;B1215,COMPOSICAO_AUX_2!$A:$J,10,FALSE),VLOOKUP(B1215,I!$A:$D,4,FALSE))</f>
        <v>20.68</v>
      </c>
      <c r="J1215" s="80">
        <f>TRUNC(H1215*I1215,2)</f>
        <v>20.68</v>
      </c>
      <c r="K1215" s="81"/>
    </row>
    <row r="1216" spans="1:13" ht="45" customHeight="1" x14ac:dyDescent="0.25">
      <c r="A1216" s="16" t="s">
        <v>306</v>
      </c>
      <c r="B1216" s="20">
        <v>20078</v>
      </c>
      <c r="C1216" s="77" t="str">
        <f>VLOOKUP(B1216,IF(A1216="COMPOSICAO",S!$A:$D,I!$A:$D),2,FALSE)</f>
        <v>PASTA LUBRIFICANTE PARA TUBOS E CONEXOES COM JUNTA ELASTICA (USO EM PVC, ACO, POLIETILENO E OUTROS) ( DE *400* G)</v>
      </c>
      <c r="D1216" s="77"/>
      <c r="E1216" s="77"/>
      <c r="F1216" s="77"/>
      <c r="G1216" s="16" t="str">
        <f>VLOOKUP(B1216,IF(A1216="COMPOSICAO",S!$A:$D,I!$A:$D),3,FALSE)</f>
        <v>UN</v>
      </c>
      <c r="H1216" s="30">
        <v>9.1999999999999998E-2</v>
      </c>
      <c r="I1216" s="17">
        <f>IF(A1216="COMPOSICAO",VLOOKUP("TOTAL - "&amp;B1216,COMPOSICAO_AUX_2!$A:$J,10,FALSE),VLOOKUP(B1216,I!$A:$D,4,FALSE))</f>
        <v>23.98</v>
      </c>
      <c r="J1216" s="80">
        <f>TRUNC(H1216*I1216,2)</f>
        <v>2.2000000000000002</v>
      </c>
      <c r="K1216" s="81"/>
    </row>
    <row r="1217" spans="1:13" ht="30" customHeight="1" x14ac:dyDescent="0.25">
      <c r="A1217" s="16" t="s">
        <v>302</v>
      </c>
      <c r="B1217" s="20">
        <v>88248</v>
      </c>
      <c r="C1217" s="77" t="str">
        <f>VLOOKUP(B1217,IF(A1217="COMPOSICAO",S!$A:$D,I!$A:$D),2,FALSE)</f>
        <v>AUXILIAR DE ENCANADOR OU BOMBEIRO HIDRÁULICO COM ENCARGOS COMPLEMENTARES</v>
      </c>
      <c r="D1217" s="77"/>
      <c r="E1217" s="77"/>
      <c r="F1217" s="77"/>
      <c r="G1217" s="16" t="str">
        <f>VLOOKUP(B1217,IF(A1217="COMPOSICAO",S!$A:$D,I!$A:$D),3,FALSE)</f>
        <v>H</v>
      </c>
      <c r="H1217" s="17">
        <v>0.16</v>
      </c>
      <c r="I1217" s="17">
        <f>IF(A1217="COMPOSICAO",VLOOKUP("TOTAL - "&amp;B1217,COMPOSICAO_AUX_2!$A:$J,10,FALSE),VLOOKUP(B1217,I!$A:$D,4,FALSE))</f>
        <v>14.96</v>
      </c>
      <c r="J1217" s="80">
        <f>TRUNC(H1217*I1217,2)</f>
        <v>2.39</v>
      </c>
      <c r="K1217" s="81"/>
    </row>
    <row r="1218" spans="1:13" ht="30" customHeight="1" x14ac:dyDescent="0.25">
      <c r="A1218" s="16" t="s">
        <v>302</v>
      </c>
      <c r="B1218" s="20">
        <v>88267</v>
      </c>
      <c r="C1218" s="77" t="str">
        <f>VLOOKUP(B1218,IF(A1218="COMPOSICAO",S!$A:$D,I!$A:$D),2,FALSE)</f>
        <v>ENCANADOR OU BOMBEIRO HIDRÁULICO COM ENCARGOS COMPLEMENTARES</v>
      </c>
      <c r="D1218" s="77"/>
      <c r="E1218" s="77"/>
      <c r="F1218" s="77"/>
      <c r="G1218" s="16" t="str">
        <f>VLOOKUP(B1218,IF(A1218="COMPOSICAO",S!$A:$D,I!$A:$D),3,FALSE)</f>
        <v>H</v>
      </c>
      <c r="H1218" s="17">
        <v>0.16</v>
      </c>
      <c r="I1218" s="17">
        <f>IF(A1218="COMPOSICAO",VLOOKUP("TOTAL - "&amp;B1218,COMPOSICAO_AUX_2!$A:$J,10,FALSE),VLOOKUP(B1218,I!$A:$D,4,FALSE))</f>
        <v>19.37</v>
      </c>
      <c r="J1218" s="80">
        <f>TRUNC(H1218*I1218,2)</f>
        <v>3.09</v>
      </c>
      <c r="K1218" s="81"/>
    </row>
    <row r="1219" spans="1:13" ht="15" customHeight="1" x14ac:dyDescent="0.25">
      <c r="A1219" s="23" t="s">
        <v>691</v>
      </c>
      <c r="B1219" s="24"/>
      <c r="C1219" s="24"/>
      <c r="D1219" s="24"/>
      <c r="E1219" s="24"/>
      <c r="F1219" s="24"/>
      <c r="G1219" s="25"/>
      <c r="H1219" s="26"/>
      <c r="I1219" s="27"/>
      <c r="J1219" s="80">
        <f>SUM(J1213:K1218)</f>
        <v>35.28</v>
      </c>
      <c r="K1219" s="81"/>
    </row>
    <row r="1220" spans="1:13" ht="15" customHeight="1" x14ac:dyDescent="0.25">
      <c r="A1220" s="3"/>
      <c r="B1220" s="3"/>
      <c r="C1220" s="3"/>
      <c r="D1220" s="3"/>
      <c r="E1220" s="3"/>
      <c r="F1220" s="3"/>
      <c r="G1220" s="3"/>
      <c r="H1220" s="3"/>
      <c r="I1220" s="3"/>
      <c r="J1220" s="3"/>
      <c r="K1220" s="3"/>
    </row>
    <row r="1221" spans="1:13" ht="15" customHeight="1" x14ac:dyDescent="0.25">
      <c r="A1221" s="10" t="s">
        <v>295</v>
      </c>
      <c r="B1221" s="10" t="s">
        <v>31</v>
      </c>
      <c r="C1221" s="82" t="s">
        <v>7</v>
      </c>
      <c r="D1221" s="83"/>
      <c r="E1221" s="83"/>
      <c r="F1221" s="83"/>
      <c r="G1221" s="6" t="s">
        <v>32</v>
      </c>
      <c r="H1221" s="6" t="s">
        <v>296</v>
      </c>
      <c r="I1221" s="6" t="s">
        <v>297</v>
      </c>
      <c r="J1221" s="57" t="s">
        <v>9</v>
      </c>
      <c r="K1221" s="58"/>
    </row>
    <row r="1222" spans="1:13" ht="45" customHeight="1" x14ac:dyDescent="0.25">
      <c r="A1222" s="6" t="s">
        <v>413</v>
      </c>
      <c r="B1222" s="28">
        <v>89848</v>
      </c>
      <c r="C1222" s="91" t="str">
        <f>VLOOKUP(B1222,S!$A:$D,2,FALSE)</f>
        <v>TUBO PVC, SERIE NORMAL, ESGOTO PREDIAL, DN 100 MM, FORNECIDO E INSTALADO EM SUBCOLETOR AÉREO DE ESGOTO SANITÁRIO. AF_12/2014</v>
      </c>
      <c r="D1222" s="91"/>
      <c r="E1222" s="91"/>
      <c r="F1222" s="92"/>
      <c r="G1222" s="6" t="str">
        <f>VLOOKUP(B1222,S!$A:$D,3,FALSE)</f>
        <v>M</v>
      </c>
      <c r="H1222" s="21"/>
      <c r="I1222" s="21">
        <f>J1229</f>
        <v>26.27</v>
      </c>
      <c r="J1222" s="76"/>
      <c r="K1222" s="72"/>
      <c r="L1222" s="21">
        <f>VLOOKUP(B1222,S!$A:$D,4,FALSE)</f>
        <v>26.27</v>
      </c>
      <c r="M1222" s="6" t="str">
        <f>IF(ROUND((L1222-I1222),2)=0,"OK, confere com a tabela.",IF(ROUND((L1222-I1222),2)&lt;0,"ACIMA ("&amp;TEXT(ROUND(I1222*100/L1222,4),"0,0000")&amp;" %) da tabela.","ABAIXO ("&amp;TEXT(ROUND(I1222*100/L1222,4),"0,0000")&amp;" %) da tabela."))</f>
        <v>OK, confere com a tabela.</v>
      </c>
    </row>
    <row r="1223" spans="1:13" ht="15" customHeight="1" x14ac:dyDescent="0.25">
      <c r="A1223" s="16" t="s">
        <v>306</v>
      </c>
      <c r="B1223" s="20">
        <v>122</v>
      </c>
      <c r="C1223" s="77" t="str">
        <f>VLOOKUP(B1223,IF(A1223="COMPOSICAO",S!$A:$D,I!$A:$D),2,FALSE)</f>
        <v>ADESIVO PLASTICO PARA PVC, FRASCO COM 850 GR</v>
      </c>
      <c r="D1223" s="77"/>
      <c r="E1223" s="77"/>
      <c r="F1223" s="77"/>
      <c r="G1223" s="16" t="str">
        <f>VLOOKUP(B1223,IF(A1223="COMPOSICAO",S!$A:$D,I!$A:$D),3,FALSE)</f>
        <v>UN</v>
      </c>
      <c r="H1223" s="29">
        <v>1.38E-2</v>
      </c>
      <c r="I1223" s="17">
        <f>IF(A1223="COMPOSICAO",VLOOKUP("TOTAL - "&amp;B1223,COMPOSICAO_AUX_2!$A:$J,10,FALSE),VLOOKUP(B1223,I!$A:$D,4,FALSE))</f>
        <v>65.489999999999995</v>
      </c>
      <c r="J1223" s="80">
        <f t="shared" ref="J1223:J1228" si="57">TRUNC(H1223*I1223,2)</f>
        <v>0.9</v>
      </c>
      <c r="K1223" s="81"/>
    </row>
    <row r="1224" spans="1:13" ht="30" customHeight="1" x14ac:dyDescent="0.25">
      <c r="A1224" s="16" t="s">
        <v>306</v>
      </c>
      <c r="B1224" s="20">
        <v>9836</v>
      </c>
      <c r="C1224" s="77" t="str">
        <f>VLOOKUP(B1224,IF(A1224="COMPOSICAO",S!$A:$D,I!$A:$D),2,FALSE)</f>
        <v>TUBO PVC  SERIE NORMAL, DN 100 MM, PARA ESGOTO  PREDIAL (NBR 5688)</v>
      </c>
      <c r="D1224" s="77"/>
      <c r="E1224" s="77"/>
      <c r="F1224" s="77"/>
      <c r="G1224" s="16" t="str">
        <f>VLOOKUP(B1224,IF(A1224="COMPOSICAO",S!$A:$D,I!$A:$D),3,FALSE)</f>
        <v>M</v>
      </c>
      <c r="H1224" s="17">
        <v>1.05</v>
      </c>
      <c r="I1224" s="17">
        <f>IF(A1224="COMPOSICAO",VLOOKUP("TOTAL - "&amp;B1224,COMPOSICAO_AUX_2!$A:$J,10,FALSE),VLOOKUP(B1224,I!$A:$D,4,FALSE))</f>
        <v>13.98</v>
      </c>
      <c r="J1224" s="80">
        <f t="shared" si="57"/>
        <v>14.67</v>
      </c>
      <c r="K1224" s="81"/>
    </row>
    <row r="1225" spans="1:13" ht="30" customHeight="1" x14ac:dyDescent="0.25">
      <c r="A1225" s="16" t="s">
        <v>306</v>
      </c>
      <c r="B1225" s="20">
        <v>20083</v>
      </c>
      <c r="C1225" s="77" t="str">
        <f>VLOOKUP(B1225,IF(A1225="COMPOSICAO",S!$A:$D,I!$A:$D),2,FALSE)</f>
        <v>SOLUCAO LIMPADORA PARA PVC, FRASCO COM 1000 CM3</v>
      </c>
      <c r="D1225" s="77"/>
      <c r="E1225" s="77"/>
      <c r="F1225" s="77"/>
      <c r="G1225" s="16" t="str">
        <f>VLOOKUP(B1225,IF(A1225="COMPOSICAO",S!$A:$D,I!$A:$D),3,FALSE)</f>
        <v>UN</v>
      </c>
      <c r="H1225" s="29">
        <v>2.2499999999999999E-2</v>
      </c>
      <c r="I1225" s="17">
        <f>IF(A1225="COMPOSICAO",VLOOKUP("TOTAL - "&amp;B1225,COMPOSICAO_AUX_2!$A:$J,10,FALSE),VLOOKUP(B1225,I!$A:$D,4,FALSE))</f>
        <v>56.87</v>
      </c>
      <c r="J1225" s="80">
        <f t="shared" si="57"/>
        <v>1.27</v>
      </c>
      <c r="K1225" s="81"/>
    </row>
    <row r="1226" spans="1:13" ht="15" customHeight="1" x14ac:dyDescent="0.25">
      <c r="A1226" s="16" t="s">
        <v>306</v>
      </c>
      <c r="B1226" s="20">
        <v>38383</v>
      </c>
      <c r="C1226" s="77" t="str">
        <f>VLOOKUP(B1226,IF(A1226="COMPOSICAO",S!$A:$D,I!$A:$D),2,FALSE)</f>
        <v>LIXA D'AGUA EM FOLHA, GRAO 100</v>
      </c>
      <c r="D1226" s="77"/>
      <c r="E1226" s="77"/>
      <c r="F1226" s="77"/>
      <c r="G1226" s="16" t="str">
        <f>VLOOKUP(B1226,IF(A1226="COMPOSICAO",S!$A:$D,I!$A:$D),3,FALSE)</f>
        <v>UN</v>
      </c>
      <c r="H1226" s="17">
        <v>0.09</v>
      </c>
      <c r="I1226" s="17">
        <f>IF(A1226="COMPOSICAO",VLOOKUP("TOTAL - "&amp;B1226,COMPOSICAO_AUX_2!$A:$J,10,FALSE),VLOOKUP(B1226,I!$A:$D,4,FALSE))</f>
        <v>2.06</v>
      </c>
      <c r="J1226" s="80">
        <f t="shared" si="57"/>
        <v>0.18</v>
      </c>
      <c r="K1226" s="81"/>
    </row>
    <row r="1227" spans="1:13" ht="30" customHeight="1" x14ac:dyDescent="0.25">
      <c r="A1227" s="16" t="s">
        <v>302</v>
      </c>
      <c r="B1227" s="20">
        <v>88248</v>
      </c>
      <c r="C1227" s="77" t="str">
        <f>VLOOKUP(B1227,IF(A1227="COMPOSICAO",S!$A:$D,I!$A:$D),2,FALSE)</f>
        <v>AUXILIAR DE ENCANADOR OU BOMBEIRO HIDRÁULICO COM ENCARGOS COMPLEMENTARES</v>
      </c>
      <c r="D1227" s="77"/>
      <c r="E1227" s="77"/>
      <c r="F1227" s="77"/>
      <c r="G1227" s="16" t="str">
        <f>VLOOKUP(B1227,IF(A1227="COMPOSICAO",S!$A:$D,I!$A:$D),3,FALSE)</f>
        <v>H</v>
      </c>
      <c r="H1227" s="17">
        <v>0.27</v>
      </c>
      <c r="I1227" s="17">
        <f>IF(A1227="COMPOSICAO",VLOOKUP("TOTAL - "&amp;B1227,COMPOSICAO_AUX_2!$A:$J,10,FALSE),VLOOKUP(B1227,I!$A:$D,4,FALSE))</f>
        <v>14.96</v>
      </c>
      <c r="J1227" s="80">
        <f t="shared" si="57"/>
        <v>4.03</v>
      </c>
      <c r="K1227" s="81"/>
    </row>
    <row r="1228" spans="1:13" ht="30" customHeight="1" x14ac:dyDescent="0.25">
      <c r="A1228" s="16" t="s">
        <v>302</v>
      </c>
      <c r="B1228" s="20">
        <v>88267</v>
      </c>
      <c r="C1228" s="77" t="str">
        <f>VLOOKUP(B1228,IF(A1228="COMPOSICAO",S!$A:$D,I!$A:$D),2,FALSE)</f>
        <v>ENCANADOR OU BOMBEIRO HIDRÁULICO COM ENCARGOS COMPLEMENTARES</v>
      </c>
      <c r="D1228" s="77"/>
      <c r="E1228" s="77"/>
      <c r="F1228" s="77"/>
      <c r="G1228" s="16" t="str">
        <f>VLOOKUP(B1228,IF(A1228="COMPOSICAO",S!$A:$D,I!$A:$D),3,FALSE)</f>
        <v>H</v>
      </c>
      <c r="H1228" s="17">
        <v>0.27</v>
      </c>
      <c r="I1228" s="17">
        <f>IF(A1228="COMPOSICAO",VLOOKUP("TOTAL - "&amp;B1228,COMPOSICAO_AUX_2!$A:$J,10,FALSE),VLOOKUP(B1228,I!$A:$D,4,FALSE))</f>
        <v>19.37</v>
      </c>
      <c r="J1228" s="80">
        <f t="shared" si="57"/>
        <v>5.22</v>
      </c>
      <c r="K1228" s="81"/>
    </row>
    <row r="1229" spans="1:13" ht="15" customHeight="1" x14ac:dyDescent="0.25">
      <c r="A1229" s="23" t="s">
        <v>692</v>
      </c>
      <c r="B1229" s="24"/>
      <c r="C1229" s="24"/>
      <c r="D1229" s="24"/>
      <c r="E1229" s="24"/>
      <c r="F1229" s="24"/>
      <c r="G1229" s="25"/>
      <c r="H1229" s="26"/>
      <c r="I1229" s="27"/>
      <c r="J1229" s="80">
        <f>SUM(J1222:K1228)</f>
        <v>26.27</v>
      </c>
      <c r="K1229" s="81"/>
    </row>
    <row r="1230" spans="1:13" ht="15" customHeight="1" x14ac:dyDescent="0.25">
      <c r="A1230" s="3"/>
      <c r="B1230" s="3"/>
      <c r="C1230" s="3"/>
      <c r="D1230" s="3"/>
      <c r="E1230" s="3"/>
      <c r="F1230" s="3"/>
      <c r="G1230" s="3"/>
      <c r="H1230" s="3"/>
      <c r="I1230" s="3"/>
      <c r="J1230" s="3"/>
      <c r="K1230" s="3"/>
    </row>
    <row r="1231" spans="1:13" ht="15" customHeight="1" x14ac:dyDescent="0.25">
      <c r="A1231" s="10" t="s">
        <v>295</v>
      </c>
      <c r="B1231" s="10" t="s">
        <v>31</v>
      </c>
      <c r="C1231" s="82" t="s">
        <v>7</v>
      </c>
      <c r="D1231" s="83"/>
      <c r="E1231" s="83"/>
      <c r="F1231" s="83"/>
      <c r="G1231" s="6" t="s">
        <v>32</v>
      </c>
      <c r="H1231" s="6" t="s">
        <v>296</v>
      </c>
      <c r="I1231" s="6" t="s">
        <v>297</v>
      </c>
      <c r="J1231" s="57" t="s">
        <v>9</v>
      </c>
      <c r="K1231" s="58"/>
    </row>
    <row r="1232" spans="1:13" ht="60" customHeight="1" x14ac:dyDescent="0.25">
      <c r="A1232" s="6" t="s">
        <v>413</v>
      </c>
      <c r="B1232" s="28">
        <v>89851</v>
      </c>
      <c r="C1232" s="91" t="str">
        <f>VLOOKUP(B1232,S!$A:$D,2,FALSE)</f>
        <v>JOELHO 45 GRAUS, PVC, SERIE NORMAL, ESGOTO PREDIAL, DN 100 MM, JUNTA ELÁSTICA, FORNECIDO E INSTALADO EM SUBCOLETOR AÉREO DE ESGOTO SANITÁRIO. AF_12/2014</v>
      </c>
      <c r="D1232" s="91"/>
      <c r="E1232" s="91"/>
      <c r="F1232" s="92"/>
      <c r="G1232" s="6" t="str">
        <f>VLOOKUP(B1232,S!$A:$D,3,FALSE)</f>
        <v>UN</v>
      </c>
      <c r="H1232" s="21"/>
      <c r="I1232" s="21">
        <f>J1238</f>
        <v>20.68</v>
      </c>
      <c r="J1232" s="76"/>
      <c r="K1232" s="72"/>
      <c r="L1232" s="21">
        <f>VLOOKUP(B1232,S!$A:$D,4,FALSE)</f>
        <v>20.68</v>
      </c>
      <c r="M1232" s="6" t="str">
        <f>IF(ROUND((L1232-I1232),2)=0,"OK, confere com a tabela.",IF(ROUND((L1232-I1232),2)&lt;0,"ACIMA ("&amp;TEXT(ROUND(I1232*100/L1232,4),"0,0000")&amp;" %) da tabela.","ABAIXO ("&amp;TEXT(ROUND(I1232*100/L1232,4),"0,0000")&amp;" %) da tabela."))</f>
        <v>OK, confere com a tabela.</v>
      </c>
    </row>
    <row r="1233" spans="1:13" ht="30" customHeight="1" x14ac:dyDescent="0.25">
      <c r="A1233" s="16" t="s">
        <v>306</v>
      </c>
      <c r="B1233" s="20">
        <v>301</v>
      </c>
      <c r="C1233" s="77" t="str">
        <f>VLOOKUP(B1233,IF(A1233="COMPOSICAO",S!$A:$D,I!$A:$D),2,FALSE)</f>
        <v>ANEL BORRACHA PARA TUBO ESGOTO PREDIAL, DN 100 MM (NBR 5688)</v>
      </c>
      <c r="D1233" s="77"/>
      <c r="E1233" s="77"/>
      <c r="F1233" s="77"/>
      <c r="G1233" s="16" t="str">
        <f>VLOOKUP(B1233,IF(A1233="COMPOSICAO",S!$A:$D,I!$A:$D),3,FALSE)</f>
        <v>UN</v>
      </c>
      <c r="H1233" s="17">
        <v>1</v>
      </c>
      <c r="I1233" s="17">
        <f>IF(A1233="COMPOSICAO",VLOOKUP("TOTAL - "&amp;B1233,COMPOSICAO_AUX_2!$A:$J,10,FALSE),VLOOKUP(B1233,I!$A:$D,4,FALSE))</f>
        <v>3.46</v>
      </c>
      <c r="J1233" s="80">
        <f>TRUNC(H1233*I1233,2)</f>
        <v>3.46</v>
      </c>
      <c r="K1233" s="81"/>
    </row>
    <row r="1234" spans="1:13" ht="30" customHeight="1" x14ac:dyDescent="0.25">
      <c r="A1234" s="16" t="s">
        <v>306</v>
      </c>
      <c r="B1234" s="20">
        <v>3528</v>
      </c>
      <c r="C1234" s="77" t="str">
        <f>VLOOKUP(B1234,IF(A1234="COMPOSICAO",S!$A:$D,I!$A:$D),2,FALSE)</f>
        <v>JOELHO PVC, SOLDAVEL, PB, 45 GRAUS, DN 100 MM, PARA ESGOTO PREDIAL</v>
      </c>
      <c r="D1234" s="77"/>
      <c r="E1234" s="77"/>
      <c r="F1234" s="77"/>
      <c r="G1234" s="16" t="str">
        <f>VLOOKUP(B1234,IF(A1234="COMPOSICAO",S!$A:$D,I!$A:$D),3,FALSE)</f>
        <v>UN</v>
      </c>
      <c r="H1234" s="17">
        <v>1</v>
      </c>
      <c r="I1234" s="17">
        <f>IF(A1234="COMPOSICAO",VLOOKUP("TOTAL - "&amp;B1234,COMPOSICAO_AUX_2!$A:$J,10,FALSE),VLOOKUP(B1234,I!$A:$D,4,FALSE))</f>
        <v>7.89</v>
      </c>
      <c r="J1234" s="80">
        <f>TRUNC(H1234*I1234,2)</f>
        <v>7.89</v>
      </c>
      <c r="K1234" s="81"/>
    </row>
    <row r="1235" spans="1:13" ht="45" customHeight="1" x14ac:dyDescent="0.25">
      <c r="A1235" s="16" t="s">
        <v>306</v>
      </c>
      <c r="B1235" s="20">
        <v>20078</v>
      </c>
      <c r="C1235" s="77" t="str">
        <f>VLOOKUP(B1235,IF(A1235="COMPOSICAO",S!$A:$D,I!$A:$D),2,FALSE)</f>
        <v>PASTA LUBRIFICANTE PARA TUBOS E CONEXOES COM JUNTA ELASTICA (USO EM PVC, ACO, POLIETILENO E OUTROS) ( DE *400* G)</v>
      </c>
      <c r="D1235" s="77"/>
      <c r="E1235" s="77"/>
      <c r="F1235" s="77"/>
      <c r="G1235" s="16" t="str">
        <f>VLOOKUP(B1235,IF(A1235="COMPOSICAO",S!$A:$D,I!$A:$D),3,FALSE)</f>
        <v>UN</v>
      </c>
      <c r="H1235" s="30">
        <v>4.5999999999999999E-2</v>
      </c>
      <c r="I1235" s="17">
        <f>IF(A1235="COMPOSICAO",VLOOKUP("TOTAL - "&amp;B1235,COMPOSICAO_AUX_2!$A:$J,10,FALSE),VLOOKUP(B1235,I!$A:$D,4,FALSE))</f>
        <v>23.98</v>
      </c>
      <c r="J1235" s="80">
        <f>TRUNC(H1235*I1235,2)</f>
        <v>1.1000000000000001</v>
      </c>
      <c r="K1235" s="81"/>
    </row>
    <row r="1236" spans="1:13" ht="30" customHeight="1" x14ac:dyDescent="0.25">
      <c r="A1236" s="16" t="s">
        <v>302</v>
      </c>
      <c r="B1236" s="20">
        <v>88248</v>
      </c>
      <c r="C1236" s="77" t="str">
        <f>VLOOKUP(B1236,IF(A1236="COMPOSICAO",S!$A:$D,I!$A:$D),2,FALSE)</f>
        <v>AUXILIAR DE ENCANADOR OU BOMBEIRO HIDRÁULICO COM ENCARGOS COMPLEMENTARES</v>
      </c>
      <c r="D1236" s="77"/>
      <c r="E1236" s="77"/>
      <c r="F1236" s="77"/>
      <c r="G1236" s="16" t="str">
        <f>VLOOKUP(B1236,IF(A1236="COMPOSICAO",S!$A:$D,I!$A:$D),3,FALSE)</f>
        <v>H</v>
      </c>
      <c r="H1236" s="17">
        <v>0.24</v>
      </c>
      <c r="I1236" s="17">
        <f>IF(A1236="COMPOSICAO",VLOOKUP("TOTAL - "&amp;B1236,COMPOSICAO_AUX_2!$A:$J,10,FALSE),VLOOKUP(B1236,I!$A:$D,4,FALSE))</f>
        <v>14.96</v>
      </c>
      <c r="J1236" s="80">
        <f>TRUNC(H1236*I1236,2)</f>
        <v>3.59</v>
      </c>
      <c r="K1236" s="81"/>
    </row>
    <row r="1237" spans="1:13" ht="30" customHeight="1" x14ac:dyDescent="0.25">
      <c r="A1237" s="16" t="s">
        <v>302</v>
      </c>
      <c r="B1237" s="20">
        <v>88267</v>
      </c>
      <c r="C1237" s="77" t="str">
        <f>VLOOKUP(B1237,IF(A1237="COMPOSICAO",S!$A:$D,I!$A:$D),2,FALSE)</f>
        <v>ENCANADOR OU BOMBEIRO HIDRÁULICO COM ENCARGOS COMPLEMENTARES</v>
      </c>
      <c r="D1237" s="77"/>
      <c r="E1237" s="77"/>
      <c r="F1237" s="77"/>
      <c r="G1237" s="16" t="str">
        <f>VLOOKUP(B1237,IF(A1237="COMPOSICAO",S!$A:$D,I!$A:$D),3,FALSE)</f>
        <v>H</v>
      </c>
      <c r="H1237" s="17">
        <v>0.24</v>
      </c>
      <c r="I1237" s="17">
        <f>IF(A1237="COMPOSICAO",VLOOKUP("TOTAL - "&amp;B1237,COMPOSICAO_AUX_2!$A:$J,10,FALSE),VLOOKUP(B1237,I!$A:$D,4,FALSE))</f>
        <v>19.37</v>
      </c>
      <c r="J1237" s="80">
        <f>TRUNC(H1237*I1237,2)</f>
        <v>4.6399999999999997</v>
      </c>
      <c r="K1237" s="81"/>
    </row>
    <row r="1238" spans="1:13" ht="15" customHeight="1" x14ac:dyDescent="0.25">
      <c r="A1238" s="23" t="s">
        <v>693</v>
      </c>
      <c r="B1238" s="24"/>
      <c r="C1238" s="24"/>
      <c r="D1238" s="24"/>
      <c r="E1238" s="24"/>
      <c r="F1238" s="24"/>
      <c r="G1238" s="25"/>
      <c r="H1238" s="26"/>
      <c r="I1238" s="27"/>
      <c r="J1238" s="80">
        <f>SUM(J1232:K1237)</f>
        <v>20.68</v>
      </c>
      <c r="K1238" s="81"/>
    </row>
    <row r="1239" spans="1:13" ht="15" customHeight="1" x14ac:dyDescent="0.25">
      <c r="A1239" s="3"/>
      <c r="B1239" s="3"/>
      <c r="C1239" s="3"/>
      <c r="D1239" s="3"/>
      <c r="E1239" s="3"/>
      <c r="F1239" s="3"/>
      <c r="G1239" s="3"/>
      <c r="H1239" s="3"/>
      <c r="I1239" s="3"/>
      <c r="J1239" s="3"/>
      <c r="K1239" s="3"/>
    </row>
    <row r="1240" spans="1:13" ht="15" customHeight="1" x14ac:dyDescent="0.25">
      <c r="A1240" s="10" t="s">
        <v>295</v>
      </c>
      <c r="B1240" s="10" t="s">
        <v>31</v>
      </c>
      <c r="C1240" s="82" t="s">
        <v>7</v>
      </c>
      <c r="D1240" s="83"/>
      <c r="E1240" s="83"/>
      <c r="F1240" s="83"/>
      <c r="G1240" s="6" t="s">
        <v>32</v>
      </c>
      <c r="H1240" s="6" t="s">
        <v>296</v>
      </c>
      <c r="I1240" s="6" t="s">
        <v>297</v>
      </c>
      <c r="J1240" s="57" t="s">
        <v>9</v>
      </c>
      <c r="K1240" s="58"/>
    </row>
    <row r="1241" spans="1:13" ht="60" customHeight="1" x14ac:dyDescent="0.25">
      <c r="A1241" s="6" t="s">
        <v>413</v>
      </c>
      <c r="B1241" s="28">
        <v>89856</v>
      </c>
      <c r="C1241" s="91" t="str">
        <f>VLOOKUP(B1241,S!$A:$D,2,FALSE)</f>
        <v>LUVA SIMPLES, PVC, SERIE NORMAL, ESGOTO PREDIAL, DN 100 MM, JUNTA ELÁSTICA, FORNECIDO E INSTALADO EM SUBCOLETOR AÉREO DE ESGOTO SANITÁRIO. AF_12/2014</v>
      </c>
      <c r="D1241" s="91"/>
      <c r="E1241" s="91"/>
      <c r="F1241" s="92"/>
      <c r="G1241" s="6" t="str">
        <f>VLOOKUP(B1241,S!$A:$D,3,FALSE)</f>
        <v>UN</v>
      </c>
      <c r="H1241" s="21"/>
      <c r="I1241" s="21">
        <f>J1247</f>
        <v>16.100000000000001</v>
      </c>
      <c r="J1241" s="76"/>
      <c r="K1241" s="72"/>
      <c r="L1241" s="21">
        <f>VLOOKUP(B1241,S!$A:$D,4,FALSE)</f>
        <v>16.100000000000001</v>
      </c>
      <c r="M1241" s="6" t="str">
        <f>IF(ROUND((L1241-I1241),2)=0,"OK, confere com a tabela.",IF(ROUND((L1241-I1241),2)&lt;0,"ACIMA ("&amp;TEXT(ROUND(I1241*100/L1241,4),"0,0000")&amp;" %) da tabela.","ABAIXO ("&amp;TEXT(ROUND(I1241*100/L1241,4),"0,0000")&amp;" %) da tabela."))</f>
        <v>OK, confere com a tabela.</v>
      </c>
    </row>
    <row r="1242" spans="1:13" ht="30" customHeight="1" x14ac:dyDescent="0.25">
      <c r="A1242" s="16" t="s">
        <v>306</v>
      </c>
      <c r="B1242" s="20">
        <v>301</v>
      </c>
      <c r="C1242" s="77" t="str">
        <f>VLOOKUP(B1242,IF(A1242="COMPOSICAO",S!$A:$D,I!$A:$D),2,FALSE)</f>
        <v>ANEL BORRACHA PARA TUBO ESGOTO PREDIAL, DN 100 MM (NBR 5688)</v>
      </c>
      <c r="D1242" s="77"/>
      <c r="E1242" s="77"/>
      <c r="F1242" s="77"/>
      <c r="G1242" s="16" t="str">
        <f>VLOOKUP(B1242,IF(A1242="COMPOSICAO",S!$A:$D,I!$A:$D),3,FALSE)</f>
        <v>UN</v>
      </c>
      <c r="H1242" s="17">
        <v>1</v>
      </c>
      <c r="I1242" s="17">
        <f>IF(A1242="COMPOSICAO",VLOOKUP("TOTAL - "&amp;B1242,COMPOSICAO_AUX_2!$A:$J,10,FALSE),VLOOKUP(B1242,I!$A:$D,4,FALSE))</f>
        <v>3.46</v>
      </c>
      <c r="J1242" s="80">
        <f>TRUNC(H1242*I1242,2)</f>
        <v>3.46</v>
      </c>
      <c r="K1242" s="81"/>
    </row>
    <row r="1243" spans="1:13" ht="30" customHeight="1" x14ac:dyDescent="0.25">
      <c r="A1243" s="16" t="s">
        <v>306</v>
      </c>
      <c r="B1243" s="20">
        <v>3899</v>
      </c>
      <c r="C1243" s="77" t="str">
        <f>VLOOKUP(B1243,IF(A1243="COMPOSICAO",S!$A:$D,I!$A:$D),2,FALSE)</f>
        <v>LUVA SIMPLES, PVC, SOLDAVEL, DN 100 MM, SERIE NORMAL, PARA ESGOTO PREDIAL</v>
      </c>
      <c r="D1243" s="77"/>
      <c r="E1243" s="77"/>
      <c r="F1243" s="77"/>
      <c r="G1243" s="16" t="str">
        <f>VLOOKUP(B1243,IF(A1243="COMPOSICAO",S!$A:$D,I!$A:$D),3,FALSE)</f>
        <v>UN</v>
      </c>
      <c r="H1243" s="17">
        <v>1</v>
      </c>
      <c r="I1243" s="17">
        <f>IF(A1243="COMPOSICAO",VLOOKUP("TOTAL - "&amp;B1243,COMPOSICAO_AUX_2!$A:$J,10,FALSE),VLOOKUP(B1243,I!$A:$D,4,FALSE))</f>
        <v>6.06</v>
      </c>
      <c r="J1243" s="80">
        <f>TRUNC(H1243*I1243,2)</f>
        <v>6.06</v>
      </c>
      <c r="K1243" s="81"/>
    </row>
    <row r="1244" spans="1:13" ht="45" customHeight="1" x14ac:dyDescent="0.25">
      <c r="A1244" s="16" t="s">
        <v>306</v>
      </c>
      <c r="B1244" s="20">
        <v>20078</v>
      </c>
      <c r="C1244" s="77" t="str">
        <f>VLOOKUP(B1244,IF(A1244="COMPOSICAO",S!$A:$D,I!$A:$D),2,FALSE)</f>
        <v>PASTA LUBRIFICANTE PARA TUBOS E CONEXOES COM JUNTA ELASTICA (USO EM PVC, ACO, POLIETILENO E OUTROS) ( DE *400* G)</v>
      </c>
      <c r="D1244" s="77"/>
      <c r="E1244" s="77"/>
      <c r="F1244" s="77"/>
      <c r="G1244" s="16" t="str">
        <f>VLOOKUP(B1244,IF(A1244="COMPOSICAO",S!$A:$D,I!$A:$D),3,FALSE)</f>
        <v>UN</v>
      </c>
      <c r="H1244" s="30">
        <v>4.5999999999999999E-2</v>
      </c>
      <c r="I1244" s="17">
        <f>IF(A1244="COMPOSICAO",VLOOKUP("TOTAL - "&amp;B1244,COMPOSICAO_AUX_2!$A:$J,10,FALSE),VLOOKUP(B1244,I!$A:$D,4,FALSE))</f>
        <v>23.98</v>
      </c>
      <c r="J1244" s="80">
        <f>TRUNC(H1244*I1244,2)</f>
        <v>1.1000000000000001</v>
      </c>
      <c r="K1244" s="81"/>
    </row>
    <row r="1245" spans="1:13" ht="30" customHeight="1" x14ac:dyDescent="0.25">
      <c r="A1245" s="16" t="s">
        <v>302</v>
      </c>
      <c r="B1245" s="20">
        <v>88248</v>
      </c>
      <c r="C1245" s="77" t="str">
        <f>VLOOKUP(B1245,IF(A1245="COMPOSICAO",S!$A:$D,I!$A:$D),2,FALSE)</f>
        <v>AUXILIAR DE ENCANADOR OU BOMBEIRO HIDRÁULICO COM ENCARGOS COMPLEMENTARES</v>
      </c>
      <c r="D1245" s="77"/>
      <c r="E1245" s="77"/>
      <c r="F1245" s="77"/>
      <c r="G1245" s="16" t="str">
        <f>VLOOKUP(B1245,IF(A1245="COMPOSICAO",S!$A:$D,I!$A:$D),3,FALSE)</f>
        <v>H</v>
      </c>
      <c r="H1245" s="17">
        <v>0.16</v>
      </c>
      <c r="I1245" s="17">
        <f>IF(A1245="COMPOSICAO",VLOOKUP("TOTAL - "&amp;B1245,COMPOSICAO_AUX_2!$A:$J,10,FALSE),VLOOKUP(B1245,I!$A:$D,4,FALSE))</f>
        <v>14.96</v>
      </c>
      <c r="J1245" s="80">
        <f>TRUNC(H1245*I1245,2)</f>
        <v>2.39</v>
      </c>
      <c r="K1245" s="81"/>
    </row>
    <row r="1246" spans="1:13" ht="30" customHeight="1" x14ac:dyDescent="0.25">
      <c r="A1246" s="16" t="s">
        <v>302</v>
      </c>
      <c r="B1246" s="20">
        <v>88267</v>
      </c>
      <c r="C1246" s="77" t="str">
        <f>VLOOKUP(B1246,IF(A1246="COMPOSICAO",S!$A:$D,I!$A:$D),2,FALSE)</f>
        <v>ENCANADOR OU BOMBEIRO HIDRÁULICO COM ENCARGOS COMPLEMENTARES</v>
      </c>
      <c r="D1246" s="77"/>
      <c r="E1246" s="77"/>
      <c r="F1246" s="77"/>
      <c r="G1246" s="16" t="str">
        <f>VLOOKUP(B1246,IF(A1246="COMPOSICAO",S!$A:$D,I!$A:$D),3,FALSE)</f>
        <v>H</v>
      </c>
      <c r="H1246" s="17">
        <v>0.16</v>
      </c>
      <c r="I1246" s="17">
        <f>IF(A1246="COMPOSICAO",VLOOKUP("TOTAL - "&amp;B1246,COMPOSICAO_AUX_2!$A:$J,10,FALSE),VLOOKUP(B1246,I!$A:$D,4,FALSE))</f>
        <v>19.37</v>
      </c>
      <c r="J1246" s="80">
        <f>TRUNC(H1246*I1246,2)</f>
        <v>3.09</v>
      </c>
      <c r="K1246" s="81"/>
    </row>
    <row r="1247" spans="1:13" ht="15" customHeight="1" x14ac:dyDescent="0.25">
      <c r="A1247" s="23" t="s">
        <v>694</v>
      </c>
      <c r="B1247" s="24"/>
      <c r="C1247" s="24"/>
      <c r="D1247" s="24"/>
      <c r="E1247" s="24"/>
      <c r="F1247" s="24"/>
      <c r="G1247" s="25"/>
      <c r="H1247" s="26"/>
      <c r="I1247" s="27"/>
      <c r="J1247" s="80">
        <f>SUM(J1241:K1246)</f>
        <v>16.100000000000001</v>
      </c>
      <c r="K1247" s="81"/>
    </row>
    <row r="1248" spans="1:13" ht="15" customHeight="1" x14ac:dyDescent="0.25">
      <c r="A1248" s="3"/>
      <c r="B1248" s="3"/>
      <c r="C1248" s="3"/>
      <c r="D1248" s="3"/>
      <c r="E1248" s="3"/>
      <c r="F1248" s="3"/>
      <c r="G1248" s="3"/>
      <c r="H1248" s="3"/>
      <c r="I1248" s="3"/>
      <c r="J1248" s="3"/>
      <c r="K1248" s="3"/>
    </row>
    <row r="1249" spans="1:13" ht="15" customHeight="1" x14ac:dyDescent="0.25">
      <c r="A1249" s="10" t="s">
        <v>295</v>
      </c>
      <c r="B1249" s="10" t="s">
        <v>31</v>
      </c>
      <c r="C1249" s="82" t="s">
        <v>7</v>
      </c>
      <c r="D1249" s="83"/>
      <c r="E1249" s="83"/>
      <c r="F1249" s="83"/>
      <c r="G1249" s="6" t="s">
        <v>32</v>
      </c>
      <c r="H1249" s="6" t="s">
        <v>296</v>
      </c>
      <c r="I1249" s="6" t="s">
        <v>297</v>
      </c>
      <c r="J1249" s="57" t="s">
        <v>9</v>
      </c>
      <c r="K1249" s="58"/>
    </row>
    <row r="1250" spans="1:13" ht="60" customHeight="1" x14ac:dyDescent="0.25">
      <c r="A1250" s="6" t="s">
        <v>413</v>
      </c>
      <c r="B1250" s="28">
        <v>89861</v>
      </c>
      <c r="C1250" s="91" t="str">
        <f>VLOOKUP(B1250,S!$A:$D,2,FALSE)</f>
        <v>JUNÇÃO SIMPLES, PVC, SERIE NORMAL, ESGOTO PREDIAL, DN 100 X 100 MM, JUNTA ELÁSTICA, FORNECIDO E INSTALADO EM SUBCOLETOR AÉREO DE ESGOTO SANITÁRIO. AF_12/2014</v>
      </c>
      <c r="D1250" s="91"/>
      <c r="E1250" s="91"/>
      <c r="F1250" s="92"/>
      <c r="G1250" s="6" t="str">
        <f>VLOOKUP(B1250,S!$A:$D,3,FALSE)</f>
        <v>UN</v>
      </c>
      <c r="H1250" s="21"/>
      <c r="I1250" s="21">
        <f>J1256</f>
        <v>40.769999999999996</v>
      </c>
      <c r="J1250" s="76"/>
      <c r="K1250" s="72"/>
      <c r="L1250" s="21">
        <f>VLOOKUP(B1250,S!$A:$D,4,FALSE)</f>
        <v>40.770000000000003</v>
      </c>
      <c r="M1250" s="6" t="str">
        <f>IF(ROUND((L1250-I1250),2)=0,"OK, confere com a tabela.",IF(ROUND((L1250-I1250),2)&lt;0,"ACIMA ("&amp;TEXT(ROUND(I1250*100/L1250,4),"0,0000")&amp;" %) da tabela.","ABAIXO ("&amp;TEXT(ROUND(I1250*100/L1250,4),"0,0000")&amp;" %) da tabela."))</f>
        <v>OK, confere com a tabela.</v>
      </c>
    </row>
    <row r="1251" spans="1:13" ht="30" customHeight="1" x14ac:dyDescent="0.25">
      <c r="A1251" s="16" t="s">
        <v>306</v>
      </c>
      <c r="B1251" s="20">
        <v>301</v>
      </c>
      <c r="C1251" s="77" t="str">
        <f>VLOOKUP(B1251,IF(A1251="COMPOSICAO",S!$A:$D,I!$A:$D),2,FALSE)</f>
        <v>ANEL BORRACHA PARA TUBO ESGOTO PREDIAL, DN 100 MM (NBR 5688)</v>
      </c>
      <c r="D1251" s="77"/>
      <c r="E1251" s="77"/>
      <c r="F1251" s="77"/>
      <c r="G1251" s="16" t="str">
        <f>VLOOKUP(B1251,IF(A1251="COMPOSICAO",S!$A:$D,I!$A:$D),3,FALSE)</f>
        <v>UN</v>
      </c>
      <c r="H1251" s="17">
        <v>2</v>
      </c>
      <c r="I1251" s="17">
        <f>IF(A1251="COMPOSICAO",VLOOKUP("TOTAL - "&amp;B1251,COMPOSICAO_AUX_2!$A:$J,10,FALSE),VLOOKUP(B1251,I!$A:$D,4,FALSE))</f>
        <v>3.46</v>
      </c>
      <c r="J1251" s="80">
        <f>TRUNC(H1251*I1251,2)</f>
        <v>6.92</v>
      </c>
      <c r="K1251" s="81"/>
    </row>
    <row r="1252" spans="1:13" ht="30" customHeight="1" x14ac:dyDescent="0.25">
      <c r="A1252" s="16" t="s">
        <v>306</v>
      </c>
      <c r="B1252" s="20">
        <v>3670</v>
      </c>
      <c r="C1252" s="77" t="str">
        <f>VLOOKUP(B1252,IF(A1252="COMPOSICAO",S!$A:$D,I!$A:$D),2,FALSE)</f>
        <v>JUNCAO SIMPLES, PVC, 45 GRAUS, DN 100 X 100 MM, SERIE NORMAL PARA ESGOTO PREDIAL</v>
      </c>
      <c r="D1252" s="77"/>
      <c r="E1252" s="77"/>
      <c r="F1252" s="77"/>
      <c r="G1252" s="16" t="str">
        <f>VLOOKUP(B1252,IF(A1252="COMPOSICAO",S!$A:$D,I!$A:$D),3,FALSE)</f>
        <v>UN</v>
      </c>
      <c r="H1252" s="17">
        <v>1</v>
      </c>
      <c r="I1252" s="17">
        <f>IF(A1252="COMPOSICAO",VLOOKUP("TOTAL - "&amp;B1252,COMPOSICAO_AUX_2!$A:$J,10,FALSE),VLOOKUP(B1252,I!$A:$D,4,FALSE))</f>
        <v>20.68</v>
      </c>
      <c r="J1252" s="80">
        <f>TRUNC(H1252*I1252,2)</f>
        <v>20.68</v>
      </c>
      <c r="K1252" s="81"/>
    </row>
    <row r="1253" spans="1:13" ht="45" customHeight="1" x14ac:dyDescent="0.25">
      <c r="A1253" s="16" t="s">
        <v>306</v>
      </c>
      <c r="B1253" s="20">
        <v>20078</v>
      </c>
      <c r="C1253" s="77" t="str">
        <f>VLOOKUP(B1253,IF(A1253="COMPOSICAO",S!$A:$D,I!$A:$D),2,FALSE)</f>
        <v>PASTA LUBRIFICANTE PARA TUBOS E CONEXOES COM JUNTA ELASTICA (USO EM PVC, ACO, POLIETILENO E OUTROS) ( DE *400* G)</v>
      </c>
      <c r="D1253" s="77"/>
      <c r="E1253" s="77"/>
      <c r="F1253" s="77"/>
      <c r="G1253" s="16" t="str">
        <f>VLOOKUP(B1253,IF(A1253="COMPOSICAO",S!$A:$D,I!$A:$D),3,FALSE)</f>
        <v>UN</v>
      </c>
      <c r="H1253" s="30">
        <v>9.1999999999999998E-2</v>
      </c>
      <c r="I1253" s="17">
        <f>IF(A1253="COMPOSICAO",VLOOKUP("TOTAL - "&amp;B1253,COMPOSICAO_AUX_2!$A:$J,10,FALSE),VLOOKUP(B1253,I!$A:$D,4,FALSE))</f>
        <v>23.98</v>
      </c>
      <c r="J1253" s="80">
        <f>TRUNC(H1253*I1253,2)</f>
        <v>2.2000000000000002</v>
      </c>
      <c r="K1253" s="81"/>
    </row>
    <row r="1254" spans="1:13" ht="30" customHeight="1" x14ac:dyDescent="0.25">
      <c r="A1254" s="16" t="s">
        <v>302</v>
      </c>
      <c r="B1254" s="20">
        <v>88248</v>
      </c>
      <c r="C1254" s="77" t="str">
        <f>VLOOKUP(B1254,IF(A1254="COMPOSICAO",S!$A:$D,I!$A:$D),2,FALSE)</f>
        <v>AUXILIAR DE ENCANADOR OU BOMBEIRO HIDRÁULICO COM ENCARGOS COMPLEMENTARES</v>
      </c>
      <c r="D1254" s="77"/>
      <c r="E1254" s="77"/>
      <c r="F1254" s="77"/>
      <c r="G1254" s="16" t="str">
        <f>VLOOKUP(B1254,IF(A1254="COMPOSICAO",S!$A:$D,I!$A:$D),3,FALSE)</f>
        <v>H</v>
      </c>
      <c r="H1254" s="17">
        <v>0.32</v>
      </c>
      <c r="I1254" s="17">
        <f>IF(A1254="COMPOSICAO",VLOOKUP("TOTAL - "&amp;B1254,COMPOSICAO_AUX_2!$A:$J,10,FALSE),VLOOKUP(B1254,I!$A:$D,4,FALSE))</f>
        <v>14.96</v>
      </c>
      <c r="J1254" s="80">
        <f>TRUNC(H1254*I1254,2)</f>
        <v>4.78</v>
      </c>
      <c r="K1254" s="81"/>
    </row>
    <row r="1255" spans="1:13" ht="30" customHeight="1" x14ac:dyDescent="0.25">
      <c r="A1255" s="16" t="s">
        <v>302</v>
      </c>
      <c r="B1255" s="20">
        <v>88267</v>
      </c>
      <c r="C1255" s="77" t="str">
        <f>VLOOKUP(B1255,IF(A1255="COMPOSICAO",S!$A:$D,I!$A:$D),2,FALSE)</f>
        <v>ENCANADOR OU BOMBEIRO HIDRÁULICO COM ENCARGOS COMPLEMENTARES</v>
      </c>
      <c r="D1255" s="77"/>
      <c r="E1255" s="77"/>
      <c r="F1255" s="77"/>
      <c r="G1255" s="16" t="str">
        <f>VLOOKUP(B1255,IF(A1255="COMPOSICAO",S!$A:$D,I!$A:$D),3,FALSE)</f>
        <v>H</v>
      </c>
      <c r="H1255" s="17">
        <v>0.32</v>
      </c>
      <c r="I1255" s="17">
        <f>IF(A1255="COMPOSICAO",VLOOKUP("TOTAL - "&amp;B1255,COMPOSICAO_AUX_2!$A:$J,10,FALSE),VLOOKUP(B1255,I!$A:$D,4,FALSE))</f>
        <v>19.37</v>
      </c>
      <c r="J1255" s="80">
        <f>TRUNC(H1255*I1255,2)</f>
        <v>6.19</v>
      </c>
      <c r="K1255" s="81"/>
    </row>
    <row r="1256" spans="1:13" ht="15" customHeight="1" x14ac:dyDescent="0.25">
      <c r="A1256" s="23" t="s">
        <v>695</v>
      </c>
      <c r="B1256" s="24"/>
      <c r="C1256" s="24"/>
      <c r="D1256" s="24"/>
      <c r="E1256" s="24"/>
      <c r="F1256" s="24"/>
      <c r="G1256" s="25"/>
      <c r="H1256" s="26"/>
      <c r="I1256" s="27"/>
      <c r="J1256" s="80">
        <f>SUM(J1250:K1255)</f>
        <v>40.769999999999996</v>
      </c>
      <c r="K1256" s="81"/>
    </row>
    <row r="1257" spans="1:13" ht="15" customHeight="1" x14ac:dyDescent="0.25">
      <c r="A1257" s="3"/>
      <c r="B1257" s="3"/>
      <c r="C1257" s="3"/>
      <c r="D1257" s="3"/>
      <c r="E1257" s="3"/>
      <c r="F1257" s="3"/>
      <c r="G1257" s="3"/>
      <c r="H1257" s="3"/>
      <c r="I1257" s="3"/>
      <c r="J1257" s="3"/>
      <c r="K1257" s="3"/>
    </row>
    <row r="1258" spans="1:13" ht="15" customHeight="1" x14ac:dyDescent="0.25">
      <c r="A1258" s="10" t="s">
        <v>295</v>
      </c>
      <c r="B1258" s="10" t="s">
        <v>31</v>
      </c>
      <c r="C1258" s="82" t="s">
        <v>7</v>
      </c>
      <c r="D1258" s="83"/>
      <c r="E1258" s="83"/>
      <c r="F1258" s="83"/>
      <c r="G1258" s="6" t="s">
        <v>32</v>
      </c>
      <c r="H1258" s="6" t="s">
        <v>296</v>
      </c>
      <c r="I1258" s="6" t="s">
        <v>297</v>
      </c>
      <c r="J1258" s="57" t="s">
        <v>9</v>
      </c>
      <c r="K1258" s="58"/>
    </row>
    <row r="1259" spans="1:13" ht="30" customHeight="1" x14ac:dyDescent="0.25">
      <c r="A1259" s="6" t="s">
        <v>413</v>
      </c>
      <c r="B1259" s="28">
        <v>90438</v>
      </c>
      <c r="C1259" s="91" t="str">
        <f>VLOOKUP(B1259,S!$A:$D,2,FALSE)</f>
        <v>FURO EM ALVENARIA PARA DIÂMETROS MAIORES QUE 75 MM. AF_05/2015</v>
      </c>
      <c r="D1259" s="91"/>
      <c r="E1259" s="91"/>
      <c r="F1259" s="92"/>
      <c r="G1259" s="6" t="str">
        <f>VLOOKUP(B1259,S!$A:$D,3,FALSE)</f>
        <v>UN</v>
      </c>
      <c r="H1259" s="21"/>
      <c r="I1259" s="21">
        <f>J1262</f>
        <v>37.31</v>
      </c>
      <c r="J1259" s="76"/>
      <c r="K1259" s="72"/>
      <c r="L1259" s="21">
        <f>VLOOKUP(B1259,S!$A:$D,4,FALSE)</f>
        <v>37.31</v>
      </c>
      <c r="M1259" s="6" t="str">
        <f>IF(ROUND((L1259-I1259),2)=0,"OK, confere com a tabela.",IF(ROUND((L1259-I1259),2)&lt;0,"ACIMA ("&amp;TEXT(ROUND(I1259*100/L1259,4),"0,0000")&amp;" %) da tabela.","ABAIXO ("&amp;TEXT(ROUND(I1259*100/L1259,4),"0,0000")&amp;" %) da tabela."))</f>
        <v>OK, confere com a tabela.</v>
      </c>
    </row>
    <row r="1260" spans="1:13" ht="30" customHeight="1" x14ac:dyDescent="0.25">
      <c r="A1260" s="16" t="s">
        <v>302</v>
      </c>
      <c r="B1260" s="20">
        <v>88248</v>
      </c>
      <c r="C1260" s="77" t="str">
        <f>VLOOKUP(B1260,IF(A1260="COMPOSICAO",S!$A:$D,I!$A:$D),2,FALSE)</f>
        <v>AUXILIAR DE ENCANADOR OU BOMBEIRO HIDRÁULICO COM ENCARGOS COMPLEMENTARES</v>
      </c>
      <c r="D1260" s="77"/>
      <c r="E1260" s="77"/>
      <c r="F1260" s="77"/>
      <c r="G1260" s="16" t="str">
        <f>VLOOKUP(B1260,IF(A1260="COMPOSICAO",S!$A:$D,I!$A:$D),3,FALSE)</f>
        <v>H</v>
      </c>
      <c r="H1260" s="30">
        <v>0.26900000000000002</v>
      </c>
      <c r="I1260" s="17">
        <f>IF(A1260="COMPOSICAO",VLOOKUP("TOTAL - "&amp;B1260,COMPOSICAO_AUX_2!$A:$J,10,FALSE),VLOOKUP(B1260,I!$A:$D,4,FALSE))</f>
        <v>14.96</v>
      </c>
      <c r="J1260" s="80">
        <f>TRUNC(H1260*I1260,2)</f>
        <v>4.0199999999999996</v>
      </c>
      <c r="K1260" s="81"/>
    </row>
    <row r="1261" spans="1:13" ht="30" customHeight="1" x14ac:dyDescent="0.25">
      <c r="A1261" s="16" t="s">
        <v>302</v>
      </c>
      <c r="B1261" s="20">
        <v>88267</v>
      </c>
      <c r="C1261" s="77" t="str">
        <f>VLOOKUP(B1261,IF(A1261="COMPOSICAO",S!$A:$D,I!$A:$D),2,FALSE)</f>
        <v>ENCANADOR OU BOMBEIRO HIDRÁULICO COM ENCARGOS COMPLEMENTARES</v>
      </c>
      <c r="D1261" s="77"/>
      <c r="E1261" s="77"/>
      <c r="F1261" s="77"/>
      <c r="G1261" s="16" t="str">
        <f>VLOOKUP(B1261,IF(A1261="COMPOSICAO",S!$A:$D,I!$A:$D),3,FALSE)</f>
        <v>H</v>
      </c>
      <c r="H1261" s="30">
        <v>1.7190000000000001</v>
      </c>
      <c r="I1261" s="17">
        <f>IF(A1261="COMPOSICAO",VLOOKUP("TOTAL - "&amp;B1261,COMPOSICAO_AUX_2!$A:$J,10,FALSE),VLOOKUP(B1261,I!$A:$D,4,FALSE))</f>
        <v>19.37</v>
      </c>
      <c r="J1261" s="80">
        <f>TRUNC(H1261*I1261,2)</f>
        <v>33.29</v>
      </c>
      <c r="K1261" s="81"/>
    </row>
    <row r="1262" spans="1:13" ht="15" customHeight="1" x14ac:dyDescent="0.25">
      <c r="A1262" s="23" t="s">
        <v>696</v>
      </c>
      <c r="B1262" s="24"/>
      <c r="C1262" s="24"/>
      <c r="D1262" s="24"/>
      <c r="E1262" s="24"/>
      <c r="F1262" s="24"/>
      <c r="G1262" s="25"/>
      <c r="H1262" s="26"/>
      <c r="I1262" s="27"/>
      <c r="J1262" s="80">
        <f>SUM(J1259:K1261)</f>
        <v>37.31</v>
      </c>
      <c r="K1262" s="81"/>
    </row>
    <row r="1263" spans="1:13" ht="15" customHeight="1" x14ac:dyDescent="0.25">
      <c r="A1263" s="3"/>
      <c r="B1263" s="3"/>
      <c r="C1263" s="3"/>
      <c r="D1263" s="3"/>
      <c r="E1263" s="3"/>
      <c r="F1263" s="3"/>
      <c r="G1263" s="3"/>
      <c r="H1263" s="3"/>
      <c r="I1263" s="3"/>
      <c r="J1263" s="3"/>
      <c r="K1263" s="3"/>
    </row>
    <row r="1264" spans="1:13" ht="15" customHeight="1" x14ac:dyDescent="0.25">
      <c r="A1264" s="10" t="s">
        <v>295</v>
      </c>
      <c r="B1264" s="10" t="s">
        <v>31</v>
      </c>
      <c r="C1264" s="82" t="s">
        <v>7</v>
      </c>
      <c r="D1264" s="83"/>
      <c r="E1264" s="83"/>
      <c r="F1264" s="83"/>
      <c r="G1264" s="6" t="s">
        <v>32</v>
      </c>
      <c r="H1264" s="6" t="s">
        <v>296</v>
      </c>
      <c r="I1264" s="6" t="s">
        <v>297</v>
      </c>
      <c r="J1264" s="57" t="s">
        <v>9</v>
      </c>
      <c r="K1264" s="58"/>
    </row>
    <row r="1265" spans="1:13" ht="30" customHeight="1" x14ac:dyDescent="0.25">
      <c r="A1265" s="6" t="s">
        <v>413</v>
      </c>
      <c r="B1265" s="28">
        <v>90455</v>
      </c>
      <c r="C1265" s="91" t="str">
        <f>VLOOKUP(B1265,S!$A:$D,2,FALSE)</f>
        <v>PASSANTE TIPO TUBO DE DIÂMETRO MAIOR QUE 75 MM, FIXADO EM LAJE. AF_05/2015</v>
      </c>
      <c r="D1265" s="91"/>
      <c r="E1265" s="91"/>
      <c r="F1265" s="92"/>
      <c r="G1265" s="6" t="str">
        <f>VLOOKUP(B1265,S!$A:$D,3,FALSE)</f>
        <v>UN</v>
      </c>
      <c r="H1265" s="21"/>
      <c r="I1265" s="21">
        <f>J1270</f>
        <v>5.379999999999999</v>
      </c>
      <c r="J1265" s="76"/>
      <c r="K1265" s="72"/>
      <c r="L1265" s="21">
        <f>VLOOKUP(B1265,S!$A:$D,4,FALSE)</f>
        <v>5.38</v>
      </c>
      <c r="M1265" s="6" t="str">
        <f>IF(ROUND((L1265-I1265),2)=0,"OK, confere com a tabela.",IF(ROUND((L1265-I1265),2)&lt;0,"ACIMA ("&amp;TEXT(ROUND(I1265*100/L1265,4),"0,0000")&amp;" %) da tabela.","ABAIXO ("&amp;TEXT(ROUND(I1265*100/L1265,4),"0,0000")&amp;" %) da tabela."))</f>
        <v>OK, confere com a tabela.</v>
      </c>
    </row>
    <row r="1266" spans="1:13" ht="30" customHeight="1" x14ac:dyDescent="0.25">
      <c r="A1266" s="16" t="s">
        <v>306</v>
      </c>
      <c r="B1266" s="20">
        <v>9836</v>
      </c>
      <c r="C1266" s="77" t="str">
        <f>VLOOKUP(B1266,IF(A1266="COMPOSICAO",S!$A:$D,I!$A:$D),2,FALSE)</f>
        <v>TUBO PVC  SERIE NORMAL, DN 100 MM, PARA ESGOTO  PREDIAL (NBR 5688)</v>
      </c>
      <c r="D1266" s="77"/>
      <c r="E1266" s="77"/>
      <c r="F1266" s="77"/>
      <c r="G1266" s="16" t="str">
        <f>VLOOKUP(B1266,IF(A1266="COMPOSICAO",S!$A:$D,I!$A:$D),3,FALSE)</f>
        <v>M</v>
      </c>
      <c r="H1266" s="17">
        <v>0.15</v>
      </c>
      <c r="I1266" s="17">
        <f>IF(A1266="COMPOSICAO",VLOOKUP("TOTAL - "&amp;B1266,COMPOSICAO_AUX_2!$A:$J,10,FALSE),VLOOKUP(B1266,I!$A:$D,4,FALSE))</f>
        <v>13.98</v>
      </c>
      <c r="J1266" s="80">
        <f>TRUNC(H1266*I1266,2)</f>
        <v>2.09</v>
      </c>
      <c r="K1266" s="81"/>
    </row>
    <row r="1267" spans="1:13" ht="30" customHeight="1" x14ac:dyDescent="0.25">
      <c r="A1267" s="16" t="s">
        <v>306</v>
      </c>
      <c r="B1267" s="20">
        <v>43132</v>
      </c>
      <c r="C1267" s="77" t="str">
        <f>VLOOKUP(B1267,IF(A1267="COMPOSICAO",S!$A:$D,I!$A:$D),2,FALSE)</f>
        <v>ARAME RECOZIDO 16 BWG, D = 1,65 MM (0,016 KG/M) OU 18 BWG, D = 1,25 MM (0,01 KG/M)</v>
      </c>
      <c r="D1267" s="77"/>
      <c r="E1267" s="77"/>
      <c r="F1267" s="77"/>
      <c r="G1267" s="16" t="str">
        <f>VLOOKUP(B1267,IF(A1267="COMPOSICAO",S!$A:$D,I!$A:$D),3,FALSE)</f>
        <v>KG</v>
      </c>
      <c r="H1267" s="30">
        <v>5.0000000000000001E-3</v>
      </c>
      <c r="I1267" s="17">
        <f>IF(A1267="COMPOSICAO",VLOOKUP("TOTAL - "&amp;B1267,COMPOSICAO_AUX_2!$A:$J,10,FALSE),VLOOKUP(B1267,I!$A:$D,4,FALSE))</f>
        <v>22.75</v>
      </c>
      <c r="J1267" s="80">
        <f>TRUNC(H1267*I1267,2)</f>
        <v>0.11</v>
      </c>
      <c r="K1267" s="81"/>
    </row>
    <row r="1268" spans="1:13" ht="30" customHeight="1" x14ac:dyDescent="0.25">
      <c r="A1268" s="16" t="s">
        <v>302</v>
      </c>
      <c r="B1268" s="20">
        <v>88248</v>
      </c>
      <c r="C1268" s="77" t="str">
        <f>VLOOKUP(B1268,IF(A1268="COMPOSICAO",S!$A:$D,I!$A:$D),2,FALSE)</f>
        <v>AUXILIAR DE ENCANADOR OU BOMBEIRO HIDRÁULICO COM ENCARGOS COMPLEMENTARES</v>
      </c>
      <c r="D1268" s="77"/>
      <c r="E1268" s="77"/>
      <c r="F1268" s="77"/>
      <c r="G1268" s="16" t="str">
        <f>VLOOKUP(B1268,IF(A1268="COMPOSICAO",S!$A:$D,I!$A:$D),3,FALSE)</f>
        <v>H</v>
      </c>
      <c r="H1268" s="30">
        <v>2.3E-2</v>
      </c>
      <c r="I1268" s="17">
        <f>IF(A1268="COMPOSICAO",VLOOKUP("TOTAL - "&amp;B1268,COMPOSICAO_AUX_2!$A:$J,10,FALSE),VLOOKUP(B1268,I!$A:$D,4,FALSE))</f>
        <v>14.96</v>
      </c>
      <c r="J1268" s="80">
        <f>TRUNC(H1268*I1268,2)</f>
        <v>0.34</v>
      </c>
      <c r="K1268" s="81"/>
    </row>
    <row r="1269" spans="1:13" ht="30" customHeight="1" x14ac:dyDescent="0.25">
      <c r="A1269" s="16" t="s">
        <v>302</v>
      </c>
      <c r="B1269" s="20">
        <v>88267</v>
      </c>
      <c r="C1269" s="77" t="str">
        <f>VLOOKUP(B1269,IF(A1269="COMPOSICAO",S!$A:$D,I!$A:$D),2,FALSE)</f>
        <v>ENCANADOR OU BOMBEIRO HIDRÁULICO COM ENCARGOS COMPLEMENTARES</v>
      </c>
      <c r="D1269" s="77"/>
      <c r="E1269" s="77"/>
      <c r="F1269" s="77"/>
      <c r="G1269" s="16" t="str">
        <f>VLOOKUP(B1269,IF(A1269="COMPOSICAO",S!$A:$D,I!$A:$D),3,FALSE)</f>
        <v>H</v>
      </c>
      <c r="H1269" s="30">
        <v>0.14699999999999999</v>
      </c>
      <c r="I1269" s="17">
        <f>IF(A1269="COMPOSICAO",VLOOKUP("TOTAL - "&amp;B1269,COMPOSICAO_AUX_2!$A:$J,10,FALSE),VLOOKUP(B1269,I!$A:$D,4,FALSE))</f>
        <v>19.37</v>
      </c>
      <c r="J1269" s="80">
        <f>TRUNC(H1269*I1269,2)</f>
        <v>2.84</v>
      </c>
      <c r="K1269" s="81"/>
    </row>
    <row r="1270" spans="1:13" ht="15" customHeight="1" x14ac:dyDescent="0.25">
      <c r="A1270" s="23" t="s">
        <v>697</v>
      </c>
      <c r="B1270" s="24"/>
      <c r="C1270" s="24"/>
      <c r="D1270" s="24"/>
      <c r="E1270" s="24"/>
      <c r="F1270" s="24"/>
      <c r="G1270" s="25"/>
      <c r="H1270" s="26"/>
      <c r="I1270" s="27"/>
      <c r="J1270" s="80">
        <f>SUM(J1265:K1269)</f>
        <v>5.379999999999999</v>
      </c>
      <c r="K1270" s="81"/>
    </row>
    <row r="1271" spans="1:13" ht="15" customHeight="1" x14ac:dyDescent="0.25">
      <c r="A1271" s="3"/>
      <c r="B1271" s="3"/>
      <c r="C1271" s="3"/>
      <c r="D1271" s="3"/>
      <c r="E1271" s="3"/>
      <c r="F1271" s="3"/>
      <c r="G1271" s="3"/>
      <c r="H1271" s="3"/>
      <c r="I1271" s="3"/>
      <c r="J1271" s="3"/>
      <c r="K1271" s="3"/>
    </row>
    <row r="1272" spans="1:13" ht="15" customHeight="1" x14ac:dyDescent="0.25">
      <c r="A1272" s="10" t="s">
        <v>295</v>
      </c>
      <c r="B1272" s="10" t="s">
        <v>31</v>
      </c>
      <c r="C1272" s="82" t="s">
        <v>7</v>
      </c>
      <c r="D1272" s="83"/>
      <c r="E1272" s="83"/>
      <c r="F1272" s="83"/>
      <c r="G1272" s="6" t="s">
        <v>32</v>
      </c>
      <c r="H1272" s="6" t="s">
        <v>296</v>
      </c>
      <c r="I1272" s="6" t="s">
        <v>297</v>
      </c>
      <c r="J1272" s="57" t="s">
        <v>9</v>
      </c>
      <c r="K1272" s="58"/>
    </row>
    <row r="1273" spans="1:13" ht="60" customHeight="1" x14ac:dyDescent="0.25">
      <c r="A1273" s="6" t="s">
        <v>413</v>
      </c>
      <c r="B1273" s="28">
        <v>91187</v>
      </c>
      <c r="C1273" s="91" t="str">
        <f>VLOOKUP(B1273,S!$A:$D,2,FALSE)</f>
        <v>FIXAÇÃO DE TUBOS HORIZONTAIS DE PVC, CPVC OU COBRE DIÂMETROS MAIORES QUE 75 MM COM ABRAÇADEIRA METÁLICA FLEXÍVEL 18 MM, FIXADA DIRETAMENTE NA LAJE. AF_05/2015</v>
      </c>
      <c r="D1273" s="91"/>
      <c r="E1273" s="91"/>
      <c r="F1273" s="92"/>
      <c r="G1273" s="6" t="str">
        <f>VLOOKUP(B1273,S!$A:$D,3,FALSE)</f>
        <v>M</v>
      </c>
      <c r="H1273" s="21"/>
      <c r="I1273" s="21">
        <f>J1278</f>
        <v>4.9899999999999993</v>
      </c>
      <c r="J1273" s="76"/>
      <c r="K1273" s="72"/>
      <c r="L1273" s="21">
        <f>VLOOKUP(B1273,S!$A:$D,4,FALSE)</f>
        <v>4.99</v>
      </c>
      <c r="M1273" s="6" t="str">
        <f>IF(ROUND((L1273-I1273),2)=0,"OK, confere com a tabela.",IF(ROUND((L1273-I1273),2)&lt;0,"ACIMA ("&amp;TEXT(ROUND(I1273*100/L1273,4),"0,0000")&amp;" %) da tabela.","ABAIXO ("&amp;TEXT(ROUND(I1273*100/L1273,4),"0,0000")&amp;" %) da tabela."))</f>
        <v>OK, confere com a tabela.</v>
      </c>
    </row>
    <row r="1274" spans="1:13" ht="45" customHeight="1" x14ac:dyDescent="0.25">
      <c r="A1274" s="16" t="s">
        <v>306</v>
      </c>
      <c r="B1274" s="20">
        <v>4350</v>
      </c>
      <c r="C1274" s="77" t="str">
        <f>VLOOKUP(B1274,IF(A1274="COMPOSICAO",S!$A:$D,I!$A:$D),2,FALSE)</f>
        <v>BUCHA DE NYLON, DIAMETRO DO FURO 8 MM, COMPRIMENTO 40 MM, COM PARAFUSO DE ROSCA SOBERBA, CABECA CHATA, FENDA SIMPLES, 4,8 X 50 MM</v>
      </c>
      <c r="D1274" s="77"/>
      <c r="E1274" s="77"/>
      <c r="F1274" s="77"/>
      <c r="G1274" s="16" t="str">
        <f>VLOOKUP(B1274,IF(A1274="COMPOSICAO",S!$A:$D,I!$A:$D),3,FALSE)</f>
        <v>UN</v>
      </c>
      <c r="H1274" s="30">
        <v>0.75900000000000001</v>
      </c>
      <c r="I1274" s="17">
        <f>IF(A1274="COMPOSICAO",VLOOKUP("TOTAL - "&amp;B1274,COMPOSICAO_AUX_2!$A:$J,10,FALSE),VLOOKUP(B1274,I!$A:$D,4,FALSE))</f>
        <v>0.38</v>
      </c>
      <c r="J1274" s="80">
        <f>TRUNC(H1274*I1274,2)</f>
        <v>0.28000000000000003</v>
      </c>
      <c r="K1274" s="81"/>
    </row>
    <row r="1275" spans="1:13" ht="30" customHeight="1" x14ac:dyDescent="0.25">
      <c r="A1275" s="16" t="s">
        <v>306</v>
      </c>
      <c r="B1275" s="20">
        <v>14153</v>
      </c>
      <c r="C1275" s="77" t="str">
        <f>VLOOKUP(B1275,IF(A1275="COMPOSICAO",S!$A:$D,I!$A:$D),2,FALSE)</f>
        <v>FITA METALICA PERFURADA, L = *18* MM, ROLO DE 30 M, CARGA RECOMENDADA = *30* KGF</v>
      </c>
      <c r="D1275" s="77"/>
      <c r="E1275" s="77"/>
      <c r="F1275" s="77"/>
      <c r="G1275" s="16" t="str">
        <f>VLOOKUP(B1275,IF(A1275="COMPOSICAO",S!$A:$D,I!$A:$D),3,FALSE)</f>
        <v>UN</v>
      </c>
      <c r="H1275" s="30">
        <v>5.0000000000000001E-3</v>
      </c>
      <c r="I1275" s="17">
        <f>IF(A1275="COMPOSICAO",VLOOKUP("TOTAL - "&amp;B1275,COMPOSICAO_AUX_2!$A:$J,10,FALSE),VLOOKUP(B1275,I!$A:$D,4,FALSE))</f>
        <v>52.81</v>
      </c>
      <c r="J1275" s="80">
        <f>TRUNC(H1275*I1275,2)</f>
        <v>0.26</v>
      </c>
      <c r="K1275" s="81"/>
    </row>
    <row r="1276" spans="1:13" ht="30" customHeight="1" x14ac:dyDescent="0.25">
      <c r="A1276" s="16" t="s">
        <v>302</v>
      </c>
      <c r="B1276" s="20">
        <v>88248</v>
      </c>
      <c r="C1276" s="77" t="str">
        <f>VLOOKUP(B1276,IF(A1276="COMPOSICAO",S!$A:$D,I!$A:$D),2,FALSE)</f>
        <v>AUXILIAR DE ENCANADOR OU BOMBEIRO HIDRÁULICO COM ENCARGOS COMPLEMENTARES</v>
      </c>
      <c r="D1276" s="77"/>
      <c r="E1276" s="77"/>
      <c r="F1276" s="77"/>
      <c r="G1276" s="16" t="str">
        <f>VLOOKUP(B1276,IF(A1276="COMPOSICAO",S!$A:$D,I!$A:$D),3,FALSE)</f>
        <v>H</v>
      </c>
      <c r="H1276" s="30">
        <v>2.9000000000000001E-2</v>
      </c>
      <c r="I1276" s="17">
        <f>IF(A1276="COMPOSICAO",VLOOKUP("TOTAL - "&amp;B1276,COMPOSICAO_AUX_2!$A:$J,10,FALSE),VLOOKUP(B1276,I!$A:$D,4,FALSE))</f>
        <v>14.96</v>
      </c>
      <c r="J1276" s="80">
        <f>TRUNC(H1276*I1276,2)</f>
        <v>0.43</v>
      </c>
      <c r="K1276" s="81"/>
    </row>
    <row r="1277" spans="1:13" ht="30" customHeight="1" x14ac:dyDescent="0.25">
      <c r="A1277" s="16" t="s">
        <v>302</v>
      </c>
      <c r="B1277" s="20">
        <v>88267</v>
      </c>
      <c r="C1277" s="77" t="str">
        <f>VLOOKUP(B1277,IF(A1277="COMPOSICAO",S!$A:$D,I!$A:$D),2,FALSE)</f>
        <v>ENCANADOR OU BOMBEIRO HIDRÁULICO COM ENCARGOS COMPLEMENTARES</v>
      </c>
      <c r="D1277" s="77"/>
      <c r="E1277" s="77"/>
      <c r="F1277" s="77"/>
      <c r="G1277" s="16" t="str">
        <f>VLOOKUP(B1277,IF(A1277="COMPOSICAO",S!$A:$D,I!$A:$D),3,FALSE)</f>
        <v>H</v>
      </c>
      <c r="H1277" s="30">
        <v>0.20799999999999999</v>
      </c>
      <c r="I1277" s="17">
        <f>IF(A1277="COMPOSICAO",VLOOKUP("TOTAL - "&amp;B1277,COMPOSICAO_AUX_2!$A:$J,10,FALSE),VLOOKUP(B1277,I!$A:$D,4,FALSE))</f>
        <v>19.37</v>
      </c>
      <c r="J1277" s="80">
        <f>TRUNC(H1277*I1277,2)</f>
        <v>4.0199999999999996</v>
      </c>
      <c r="K1277" s="81"/>
    </row>
    <row r="1278" spans="1:13" ht="15" customHeight="1" x14ac:dyDescent="0.25">
      <c r="A1278" s="23" t="s">
        <v>698</v>
      </c>
      <c r="B1278" s="24"/>
      <c r="C1278" s="24"/>
      <c r="D1278" s="24"/>
      <c r="E1278" s="24"/>
      <c r="F1278" s="24"/>
      <c r="G1278" s="25"/>
      <c r="H1278" s="26"/>
      <c r="I1278" s="27"/>
      <c r="J1278" s="80">
        <f>SUM(J1273:K1277)</f>
        <v>4.9899999999999993</v>
      </c>
      <c r="K1278" s="81"/>
    </row>
    <row r="1279" spans="1:13" ht="15" customHeight="1" x14ac:dyDescent="0.25">
      <c r="A1279" s="3"/>
      <c r="B1279" s="3"/>
      <c r="C1279" s="3"/>
      <c r="D1279" s="3"/>
      <c r="E1279" s="3"/>
      <c r="F1279" s="3"/>
      <c r="G1279" s="3"/>
      <c r="H1279" s="3"/>
      <c r="I1279" s="3"/>
      <c r="J1279" s="3"/>
      <c r="K1279" s="3"/>
    </row>
    <row r="1280" spans="1:13" ht="15" customHeight="1" x14ac:dyDescent="0.25">
      <c r="A1280" s="10" t="s">
        <v>295</v>
      </c>
      <c r="B1280" s="10" t="s">
        <v>31</v>
      </c>
      <c r="C1280" s="82" t="s">
        <v>7</v>
      </c>
      <c r="D1280" s="83"/>
      <c r="E1280" s="83"/>
      <c r="F1280" s="83"/>
      <c r="G1280" s="6" t="s">
        <v>32</v>
      </c>
      <c r="H1280" s="6" t="s">
        <v>296</v>
      </c>
      <c r="I1280" s="6" t="s">
        <v>297</v>
      </c>
      <c r="J1280" s="57" t="s">
        <v>9</v>
      </c>
      <c r="K1280" s="58"/>
    </row>
    <row r="1281" spans="1:13" ht="30" customHeight="1" x14ac:dyDescent="0.25">
      <c r="A1281" s="6" t="s">
        <v>413</v>
      </c>
      <c r="B1281" s="28">
        <v>91192</v>
      </c>
      <c r="C1281" s="91" t="str">
        <f>VLOOKUP(B1281,S!$A:$D,2,FALSE)</f>
        <v>CHUMBAMENTO PONTUAL EM PASSAGEM DE TUBO COM DIÂMETRO MAIOR QUE 75 MM. AF_05/2015</v>
      </c>
      <c r="D1281" s="91"/>
      <c r="E1281" s="91"/>
      <c r="F1281" s="92"/>
      <c r="G1281" s="6" t="str">
        <f>VLOOKUP(B1281,S!$A:$D,3,FALSE)</f>
        <v>UN</v>
      </c>
      <c r="H1281" s="21"/>
      <c r="I1281" s="21">
        <f>J1285</f>
        <v>4.5</v>
      </c>
      <c r="J1281" s="76"/>
      <c r="K1281" s="72"/>
      <c r="L1281" s="21">
        <f>VLOOKUP(B1281,S!$A:$D,4,FALSE)</f>
        <v>4.5</v>
      </c>
      <c r="M1281" s="6" t="str">
        <f>IF(ROUND((L1281-I1281),2)=0,"OK, confere com a tabela.",IF(ROUND((L1281-I1281),2)&lt;0,"ACIMA ("&amp;TEXT(ROUND(I1281*100/L1281,4),"0,0000")&amp;" %) da tabela.","ABAIXO ("&amp;TEXT(ROUND(I1281*100/L1281,4),"0,0000")&amp;" %) da tabela."))</f>
        <v>OK, confere com a tabela.</v>
      </c>
    </row>
    <row r="1282" spans="1:13" ht="30" customHeight="1" x14ac:dyDescent="0.25">
      <c r="A1282" s="16" t="s">
        <v>302</v>
      </c>
      <c r="B1282" s="20">
        <v>88248</v>
      </c>
      <c r="C1282" s="77" t="str">
        <f>VLOOKUP(B1282,IF(A1282="COMPOSICAO",S!$A:$D,I!$A:$D),2,FALSE)</f>
        <v>AUXILIAR DE ENCANADOR OU BOMBEIRO HIDRÁULICO COM ENCARGOS COMPLEMENTARES</v>
      </c>
      <c r="D1282" s="77"/>
      <c r="E1282" s="77"/>
      <c r="F1282" s="77"/>
      <c r="G1282" s="16" t="str">
        <f>VLOOKUP(B1282,IF(A1282="COMPOSICAO",S!$A:$D,I!$A:$D),3,FALSE)</f>
        <v>H</v>
      </c>
      <c r="H1282" s="30">
        <v>2.5999999999999999E-2</v>
      </c>
      <c r="I1282" s="17">
        <f>IF(A1282="COMPOSICAO",VLOOKUP("TOTAL - "&amp;B1282,COMPOSICAO_AUX_2!$A:$J,10,FALSE),VLOOKUP(B1282,I!$A:$D,4,FALSE))</f>
        <v>14.96</v>
      </c>
      <c r="J1282" s="80">
        <f>TRUNC(H1282*I1282,2)</f>
        <v>0.38</v>
      </c>
      <c r="K1282" s="81"/>
    </row>
    <row r="1283" spans="1:13" ht="30" customHeight="1" x14ac:dyDescent="0.25">
      <c r="A1283" s="16" t="s">
        <v>302</v>
      </c>
      <c r="B1283" s="20">
        <v>88267</v>
      </c>
      <c r="C1283" s="77" t="str">
        <f>VLOOKUP(B1283,IF(A1283="COMPOSICAO",S!$A:$D,I!$A:$D),2,FALSE)</f>
        <v>ENCANADOR OU BOMBEIRO HIDRÁULICO COM ENCARGOS COMPLEMENTARES</v>
      </c>
      <c r="D1283" s="77"/>
      <c r="E1283" s="77"/>
      <c r="F1283" s="77"/>
      <c r="G1283" s="16" t="str">
        <f>VLOOKUP(B1283,IF(A1283="COMPOSICAO",S!$A:$D,I!$A:$D),3,FALSE)</f>
        <v>H</v>
      </c>
      <c r="H1283" s="30">
        <v>0.186</v>
      </c>
      <c r="I1283" s="17">
        <f>IF(A1283="COMPOSICAO",VLOOKUP("TOTAL - "&amp;B1283,COMPOSICAO_AUX_2!$A:$J,10,FALSE),VLOOKUP(B1283,I!$A:$D,4,FALSE))</f>
        <v>19.37</v>
      </c>
      <c r="J1283" s="80">
        <f>TRUNC(H1283*I1283,2)</f>
        <v>3.6</v>
      </c>
      <c r="K1283" s="81"/>
    </row>
    <row r="1284" spans="1:13" ht="45" customHeight="1" x14ac:dyDescent="0.25">
      <c r="A1284" s="16" t="s">
        <v>302</v>
      </c>
      <c r="B1284" s="20">
        <v>88629</v>
      </c>
      <c r="C1284" s="77" t="str">
        <f>VLOOKUP(B1284,IF(A1284="COMPOSICAO",S!$A:$D,I!$A:$D),2,FALSE)</f>
        <v>ARGAMASSA TRAÇO 1:3 (EM VOLUME DE CIMENTO E AREIA MÉDIA ÚMIDA), PREPARO MANUAL. AF_08/2019</v>
      </c>
      <c r="D1284" s="77"/>
      <c r="E1284" s="77"/>
      <c r="F1284" s="77"/>
      <c r="G1284" s="16" t="str">
        <f>VLOOKUP(B1284,IF(A1284="COMPOSICAO",S!$A:$D,I!$A:$D),3,FALSE)</f>
        <v>M3</v>
      </c>
      <c r="H1284" s="30">
        <v>1E-3</v>
      </c>
      <c r="I1284" s="17">
        <f>IF(A1284="COMPOSICAO",VLOOKUP("TOTAL - "&amp;B1284,COMPOSICAO_AUX_2!$A:$J,10,FALSE),VLOOKUP(B1284,I!$A:$D,4,FALSE))</f>
        <v>527.39</v>
      </c>
      <c r="J1284" s="80">
        <f>TRUNC(H1284*I1284,2)</f>
        <v>0.52</v>
      </c>
      <c r="K1284" s="81"/>
    </row>
    <row r="1285" spans="1:13" ht="15" customHeight="1" x14ac:dyDescent="0.25">
      <c r="A1285" s="23" t="s">
        <v>699</v>
      </c>
      <c r="B1285" s="24"/>
      <c r="C1285" s="24"/>
      <c r="D1285" s="24"/>
      <c r="E1285" s="24"/>
      <c r="F1285" s="24"/>
      <c r="G1285" s="25"/>
      <c r="H1285" s="26"/>
      <c r="I1285" s="27"/>
      <c r="J1285" s="80">
        <f>SUM(J1281:K1284)</f>
        <v>4.5</v>
      </c>
      <c r="K1285" s="81"/>
    </row>
    <row r="1286" spans="1:13" ht="15" customHeight="1" x14ac:dyDescent="0.25">
      <c r="A1286" s="3"/>
      <c r="B1286" s="3"/>
      <c r="C1286" s="3"/>
      <c r="D1286" s="3"/>
      <c r="E1286" s="3"/>
      <c r="F1286" s="3"/>
      <c r="G1286" s="3"/>
      <c r="H1286" s="3"/>
      <c r="I1286" s="3"/>
      <c r="J1286" s="3"/>
      <c r="K1286" s="3"/>
    </row>
    <row r="1287" spans="1:13" ht="15" customHeight="1" x14ac:dyDescent="0.25">
      <c r="A1287" s="10" t="s">
        <v>295</v>
      </c>
      <c r="B1287" s="10" t="s">
        <v>31</v>
      </c>
      <c r="C1287" s="82" t="s">
        <v>7</v>
      </c>
      <c r="D1287" s="83"/>
      <c r="E1287" s="83"/>
      <c r="F1287" s="83"/>
      <c r="G1287" s="6" t="s">
        <v>32</v>
      </c>
      <c r="H1287" s="6" t="s">
        <v>296</v>
      </c>
      <c r="I1287" s="6" t="s">
        <v>297</v>
      </c>
      <c r="J1287" s="57" t="s">
        <v>9</v>
      </c>
      <c r="K1287" s="58"/>
    </row>
    <row r="1288" spans="1:13" ht="15" customHeight="1" x14ac:dyDescent="0.25">
      <c r="A1288" s="6" t="s">
        <v>11</v>
      </c>
      <c r="B1288" s="6" t="s">
        <v>445</v>
      </c>
      <c r="C1288" s="91" t="str">
        <f>VLOOKUP(B1288,S!$A:$D,2,FALSE)</f>
        <v>TUBO PVC BRANCO P/ESGOTO D=100MM (4')</v>
      </c>
      <c r="D1288" s="91"/>
      <c r="E1288" s="91"/>
      <c r="F1288" s="92"/>
      <c r="G1288" s="6" t="str">
        <f>VLOOKUP(B1288,S!$A:$D,3,FALSE)</f>
        <v>M</v>
      </c>
      <c r="H1288" s="21"/>
      <c r="I1288" s="21">
        <f>J1294</f>
        <v>35.11</v>
      </c>
      <c r="J1288" s="76"/>
      <c r="K1288" s="72"/>
      <c r="L1288" s="21">
        <f>VLOOKUP(B1288,S!$A:$D,4,FALSE)</f>
        <v>35.15</v>
      </c>
      <c r="M1288" s="6" t="str">
        <f>IF(ROUND((L1288-I1288),2)=0,"OK, confere com a tabela.",IF(ROUND((L1288-I1288),2)&lt;0,"ACIMA ("&amp;TEXT(ROUND(I1288*100/L1288,4),"0,0000")&amp;" %) da tabela.","ABAIXO ("&amp;TEXT(ROUND(I1288*100/L1288,4),"0,0000")&amp;" %) da tabela."))</f>
        <v>ABAIXO (99,8862 %) da tabela.</v>
      </c>
    </row>
    <row r="1289" spans="1:13" ht="15" customHeight="1" x14ac:dyDescent="0.25">
      <c r="A1289" s="16" t="s">
        <v>306</v>
      </c>
      <c r="B1289" s="16" t="s">
        <v>700</v>
      </c>
      <c r="C1289" s="77" t="str">
        <f>VLOOKUP(B1289,IF(A1289="COMPOSICAO",S!$A:$D,I!$A:$D),2,FALSE)</f>
        <v>AJUDANTE DE ENCANADOR</v>
      </c>
      <c r="D1289" s="77"/>
      <c r="E1289" s="77"/>
      <c r="F1289" s="77"/>
      <c r="G1289" s="16" t="str">
        <f>VLOOKUP(B1289,IF(A1289="COMPOSICAO",S!$A:$D,I!$A:$D),3,FALSE)</f>
        <v>H</v>
      </c>
      <c r="H1289" s="17">
        <v>0.52</v>
      </c>
      <c r="I1289" s="17">
        <f>IF(A1289="COMPOSICAO",VLOOKUP("TOTAL - "&amp;B1289,COMPOSICAO_AUX_2!$A:$J,10,FALSE),VLOOKUP(B1289,I!$A:$D,4,FALSE))</f>
        <v>18.63</v>
      </c>
      <c r="J1289" s="80">
        <f>TRUNC(H1289*I1289,2)</f>
        <v>9.68</v>
      </c>
      <c r="K1289" s="81"/>
    </row>
    <row r="1290" spans="1:13" ht="15" customHeight="1" x14ac:dyDescent="0.25">
      <c r="A1290" s="16" t="s">
        <v>306</v>
      </c>
      <c r="B1290" s="16" t="s">
        <v>701</v>
      </c>
      <c r="C1290" s="77" t="str">
        <f>VLOOKUP(B1290,IF(A1290="COMPOSICAO",S!$A:$D,I!$A:$D),2,FALSE)</f>
        <v>ENCANADOR</v>
      </c>
      <c r="D1290" s="77"/>
      <c r="E1290" s="77"/>
      <c r="F1290" s="77"/>
      <c r="G1290" s="16" t="str">
        <f>VLOOKUP(B1290,IF(A1290="COMPOSICAO",S!$A:$D,I!$A:$D),3,FALSE)</f>
        <v>H</v>
      </c>
      <c r="H1290" s="17">
        <v>0.52</v>
      </c>
      <c r="I1290" s="17">
        <f>IF(A1290="COMPOSICAO",VLOOKUP("TOTAL - "&amp;B1290,COMPOSICAO_AUX_2!$A:$J,10,FALSE),VLOOKUP(B1290,I!$A:$D,4,FALSE))</f>
        <v>22.72</v>
      </c>
      <c r="J1290" s="80">
        <f>TRUNC(H1290*I1290,2)</f>
        <v>11.81</v>
      </c>
      <c r="K1290" s="81"/>
    </row>
    <row r="1291" spans="1:13" ht="15" customHeight="1" x14ac:dyDescent="0.25">
      <c r="A1291" s="16" t="s">
        <v>306</v>
      </c>
      <c r="B1291" s="16" t="s">
        <v>702</v>
      </c>
      <c r="C1291" s="77" t="str">
        <f>VLOOKUP(B1291,IF(A1291="COMPOSICAO",S!$A:$D,I!$A:$D),2,FALSE)</f>
        <v>ADESIVO PARA TUBO DE PVC RIGIDO</v>
      </c>
      <c r="D1291" s="77"/>
      <c r="E1291" s="77"/>
      <c r="F1291" s="77"/>
      <c r="G1291" s="16" t="str">
        <f>VLOOKUP(B1291,IF(A1291="COMPOSICAO",S!$A:$D,I!$A:$D),3,FALSE)</f>
        <v>KG</v>
      </c>
      <c r="H1291" s="30">
        <v>2.5000000000000001E-2</v>
      </c>
      <c r="I1291" s="17">
        <f>IF(A1291="COMPOSICAO",VLOOKUP("TOTAL - "&amp;B1291,COMPOSICAO_AUX_2!$A:$J,10,FALSE),VLOOKUP(B1291,I!$A:$D,4,FALSE))</f>
        <v>45.16</v>
      </c>
      <c r="J1291" s="80">
        <f>TRUNC(H1291*I1291,2)</f>
        <v>1.1200000000000001</v>
      </c>
      <c r="K1291" s="81"/>
    </row>
    <row r="1292" spans="1:13" ht="15" customHeight="1" x14ac:dyDescent="0.25">
      <c r="A1292" s="16" t="s">
        <v>306</v>
      </c>
      <c r="B1292" s="16" t="s">
        <v>703</v>
      </c>
      <c r="C1292" s="77" t="str">
        <f>VLOOKUP(B1292,IF(A1292="COMPOSICAO",S!$A:$D,I!$A:$D),2,FALSE)</f>
        <v>SOLUÇÃO LIMPADORA PARA PVC RIGIDO</v>
      </c>
      <c r="D1292" s="77"/>
      <c r="E1292" s="77"/>
      <c r="F1292" s="77"/>
      <c r="G1292" s="16" t="str">
        <f>VLOOKUP(B1292,IF(A1292="COMPOSICAO",S!$A:$D,I!$A:$D),3,FALSE)</f>
        <v>L</v>
      </c>
      <c r="H1292" s="17">
        <v>0.04</v>
      </c>
      <c r="I1292" s="17">
        <f>IF(A1292="COMPOSICAO",VLOOKUP("TOTAL - "&amp;B1292,COMPOSICAO_AUX_2!$A:$J,10,FALSE),VLOOKUP(B1292,I!$A:$D,4,FALSE))</f>
        <v>39.22</v>
      </c>
      <c r="J1292" s="80">
        <f>TRUNC(H1292*I1292,2)</f>
        <v>1.56</v>
      </c>
      <c r="K1292" s="81"/>
    </row>
    <row r="1293" spans="1:13" ht="15" customHeight="1" x14ac:dyDescent="0.25">
      <c r="A1293" s="16" t="s">
        <v>306</v>
      </c>
      <c r="B1293" s="16" t="s">
        <v>704</v>
      </c>
      <c r="C1293" s="77" t="str">
        <f>VLOOKUP(B1293,IF(A1293="COMPOSICAO",S!$A:$D,I!$A:$D),2,FALSE)</f>
        <v>TUBO PVC ESGOTO DE 100MM (4') - (NBR 5688)</v>
      </c>
      <c r="D1293" s="77"/>
      <c r="E1293" s="77"/>
      <c r="F1293" s="77"/>
      <c r="G1293" s="16" t="str">
        <f>VLOOKUP(B1293,IF(A1293="COMPOSICAO",S!$A:$D,I!$A:$D),3,FALSE)</f>
        <v>M</v>
      </c>
      <c r="H1293" s="17">
        <v>1.01</v>
      </c>
      <c r="I1293" s="17">
        <f>IF(A1293="COMPOSICAO",VLOOKUP("TOTAL - "&amp;B1293,COMPOSICAO_AUX_2!$A:$J,10,FALSE),VLOOKUP(B1293,I!$A:$D,4,FALSE))</f>
        <v>10.84</v>
      </c>
      <c r="J1293" s="80">
        <f>TRUNC(H1293*I1293,2)</f>
        <v>10.94</v>
      </c>
      <c r="K1293" s="81"/>
    </row>
    <row r="1294" spans="1:13" ht="15" customHeight="1" x14ac:dyDescent="0.25">
      <c r="A1294" s="23" t="s">
        <v>705</v>
      </c>
      <c r="B1294" s="24"/>
      <c r="C1294" s="24"/>
      <c r="D1294" s="24"/>
      <c r="E1294" s="24"/>
      <c r="F1294" s="24"/>
      <c r="G1294" s="25"/>
      <c r="H1294" s="26"/>
      <c r="I1294" s="27"/>
      <c r="J1294" s="80">
        <f>SUM(J1288:K1293)</f>
        <v>35.11</v>
      </c>
      <c r="K1294" s="81"/>
    </row>
    <row r="1295" spans="1:13" ht="15" customHeight="1" x14ac:dyDescent="0.25">
      <c r="A1295" s="3"/>
      <c r="B1295" s="3"/>
      <c r="C1295" s="3"/>
      <c r="D1295" s="3"/>
      <c r="E1295" s="3"/>
      <c r="F1295" s="3"/>
      <c r="G1295" s="3"/>
      <c r="H1295" s="3"/>
      <c r="I1295" s="3"/>
      <c r="J1295" s="3"/>
      <c r="K1295" s="3"/>
    </row>
    <row r="1296" spans="1:13" ht="15" customHeight="1" x14ac:dyDescent="0.25">
      <c r="A1296" s="10" t="s">
        <v>295</v>
      </c>
      <c r="B1296" s="10" t="s">
        <v>31</v>
      </c>
      <c r="C1296" s="82" t="s">
        <v>7</v>
      </c>
      <c r="D1296" s="83"/>
      <c r="E1296" s="83"/>
      <c r="F1296" s="83"/>
      <c r="G1296" s="6" t="s">
        <v>32</v>
      </c>
      <c r="H1296" s="6" t="s">
        <v>296</v>
      </c>
      <c r="I1296" s="6" t="s">
        <v>297</v>
      </c>
      <c r="J1296" s="57" t="s">
        <v>9</v>
      </c>
      <c r="K1296" s="58"/>
    </row>
    <row r="1297" spans="1:13" ht="30" customHeight="1" x14ac:dyDescent="0.25">
      <c r="A1297" s="6" t="s">
        <v>11</v>
      </c>
      <c r="B1297" s="6" t="s">
        <v>446</v>
      </c>
      <c r="C1297" s="91" t="str">
        <f>VLOOKUP(B1297,S!$A:$D,2,FALSE)</f>
        <v>ESCAVAÇÃO MANUAL SOLO DE 1A CAT. PROF. DE 1.51 a 3.00m</v>
      </c>
      <c r="D1297" s="91"/>
      <c r="E1297" s="91"/>
      <c r="F1297" s="92"/>
      <c r="G1297" s="6" t="str">
        <f>VLOOKUP(B1297,S!$A:$D,3,FALSE)</f>
        <v>M3</v>
      </c>
      <c r="H1297" s="21"/>
      <c r="I1297" s="21">
        <f>J1299</f>
        <v>59.99</v>
      </c>
      <c r="J1297" s="76"/>
      <c r="K1297" s="72"/>
      <c r="L1297" s="21">
        <f>VLOOKUP(B1297,S!$A:$D,4,FALSE)</f>
        <v>59.99</v>
      </c>
      <c r="M1297" s="6" t="str">
        <f>IF(ROUND((L1297-I1297),2)=0,"OK, confere com a tabela.",IF(ROUND((L1297-I1297),2)&lt;0,"ACIMA ("&amp;TEXT(ROUND(I1297*100/L1297,4),"0,0000")&amp;" %) da tabela.","ABAIXO ("&amp;TEXT(ROUND(I1297*100/L1297,4),"0,0000")&amp;" %) da tabela."))</f>
        <v>OK, confere com a tabela.</v>
      </c>
    </row>
    <row r="1298" spans="1:13" ht="15" customHeight="1" x14ac:dyDescent="0.25">
      <c r="A1298" s="16" t="s">
        <v>306</v>
      </c>
      <c r="B1298" s="16" t="s">
        <v>355</v>
      </c>
      <c r="C1298" s="77" t="str">
        <f>VLOOKUP(B1298,IF(A1298="COMPOSICAO",S!$A:$D,I!$A:$D),2,FALSE)</f>
        <v>SERVENTE</v>
      </c>
      <c r="D1298" s="77"/>
      <c r="E1298" s="77"/>
      <c r="F1298" s="77"/>
      <c r="G1298" s="16" t="str">
        <f>VLOOKUP(B1298,IF(A1298="COMPOSICAO",S!$A:$D,I!$A:$D),3,FALSE)</f>
        <v>H</v>
      </c>
      <c r="H1298" s="17">
        <v>3.5</v>
      </c>
      <c r="I1298" s="17">
        <f>IF(A1298="COMPOSICAO",VLOOKUP("TOTAL - "&amp;B1298,COMPOSICAO_AUX_2!$A:$J,10,FALSE),VLOOKUP(B1298,I!$A:$D,4,FALSE))</f>
        <v>17.14</v>
      </c>
      <c r="J1298" s="80">
        <f>TRUNC(H1298*I1298,2)</f>
        <v>59.99</v>
      </c>
      <c r="K1298" s="81"/>
    </row>
    <row r="1299" spans="1:13" ht="15" customHeight="1" x14ac:dyDescent="0.25">
      <c r="A1299" s="23" t="s">
        <v>706</v>
      </c>
      <c r="B1299" s="24"/>
      <c r="C1299" s="24"/>
      <c r="D1299" s="24"/>
      <c r="E1299" s="24"/>
      <c r="F1299" s="24"/>
      <c r="G1299" s="25"/>
      <c r="H1299" s="26"/>
      <c r="I1299" s="27"/>
      <c r="J1299" s="80">
        <f>SUM(J1297:K1298)</f>
        <v>59.99</v>
      </c>
      <c r="K1299" s="81"/>
    </row>
    <row r="1300" spans="1:13" ht="15" customHeight="1" x14ac:dyDescent="0.25">
      <c r="A1300" s="3"/>
      <c r="B1300" s="3"/>
      <c r="C1300" s="3"/>
      <c r="D1300" s="3"/>
      <c r="E1300" s="3"/>
      <c r="F1300" s="3"/>
      <c r="G1300" s="3"/>
      <c r="H1300" s="3"/>
      <c r="I1300" s="3"/>
      <c r="J1300" s="3"/>
      <c r="K1300" s="3"/>
    </row>
    <row r="1301" spans="1:13" ht="15" customHeight="1" x14ac:dyDescent="0.25">
      <c r="A1301" s="10" t="s">
        <v>295</v>
      </c>
      <c r="B1301" s="10" t="s">
        <v>31</v>
      </c>
      <c r="C1301" s="82" t="s">
        <v>7</v>
      </c>
      <c r="D1301" s="83"/>
      <c r="E1301" s="83"/>
      <c r="F1301" s="83"/>
      <c r="G1301" s="6" t="s">
        <v>32</v>
      </c>
      <c r="H1301" s="6" t="s">
        <v>296</v>
      </c>
      <c r="I1301" s="6" t="s">
        <v>297</v>
      </c>
      <c r="J1301" s="57" t="s">
        <v>9</v>
      </c>
      <c r="K1301" s="58"/>
    </row>
    <row r="1302" spans="1:13" ht="15" customHeight="1" x14ac:dyDescent="0.25">
      <c r="A1302" s="6" t="s">
        <v>11</v>
      </c>
      <c r="B1302" s="6" t="s">
        <v>447</v>
      </c>
      <c r="C1302" s="91" t="str">
        <f>VLOOKUP(B1302,S!$A:$D,2,FALSE)</f>
        <v>LASTRO DE AREIA ADQUIRIDA</v>
      </c>
      <c r="D1302" s="91"/>
      <c r="E1302" s="91"/>
      <c r="F1302" s="92"/>
      <c r="G1302" s="6" t="str">
        <f>VLOOKUP(B1302,S!$A:$D,3,FALSE)</f>
        <v>M3</v>
      </c>
      <c r="H1302" s="21"/>
      <c r="I1302" s="21">
        <f>J1305</f>
        <v>108.2</v>
      </c>
      <c r="J1302" s="76"/>
      <c r="K1302" s="72"/>
      <c r="L1302" s="21">
        <f>VLOOKUP(B1302,S!$A:$D,4,FALSE)</f>
        <v>108.21</v>
      </c>
      <c r="M1302" s="6" t="str">
        <f>IF(ROUND((L1302-I1302),2)=0,"OK, confere com a tabela.",IF(ROUND((L1302-I1302),2)&lt;0,"ACIMA ("&amp;TEXT(ROUND(I1302*100/L1302,4),"0,0000")&amp;" %) da tabela.","ABAIXO ("&amp;TEXT(ROUND(I1302*100/L1302,4),"0,0000")&amp;" %) da tabela."))</f>
        <v>ABAIXO (99,9908 %) da tabela.</v>
      </c>
    </row>
    <row r="1303" spans="1:13" ht="15" customHeight="1" x14ac:dyDescent="0.25">
      <c r="A1303" s="16" t="s">
        <v>306</v>
      </c>
      <c r="B1303" s="16" t="s">
        <v>355</v>
      </c>
      <c r="C1303" s="77" t="str">
        <f>VLOOKUP(B1303,IF(A1303="COMPOSICAO",S!$A:$D,I!$A:$D),2,FALSE)</f>
        <v>SERVENTE</v>
      </c>
      <c r="D1303" s="77"/>
      <c r="E1303" s="77"/>
      <c r="F1303" s="77"/>
      <c r="G1303" s="16" t="str">
        <f>VLOOKUP(B1303,IF(A1303="COMPOSICAO",S!$A:$D,I!$A:$D),3,FALSE)</f>
        <v>H</v>
      </c>
      <c r="H1303" s="17">
        <v>1.3</v>
      </c>
      <c r="I1303" s="17">
        <f>IF(A1303="COMPOSICAO",VLOOKUP("TOTAL - "&amp;B1303,COMPOSICAO_AUX_2!$A:$J,10,FALSE),VLOOKUP(B1303,I!$A:$D,4,FALSE))</f>
        <v>17.14</v>
      </c>
      <c r="J1303" s="80">
        <f>TRUNC(H1303*I1303,2)</f>
        <v>22.28</v>
      </c>
      <c r="K1303" s="81"/>
    </row>
    <row r="1304" spans="1:13" ht="15" customHeight="1" x14ac:dyDescent="0.25">
      <c r="A1304" s="16" t="s">
        <v>306</v>
      </c>
      <c r="B1304" s="16" t="s">
        <v>707</v>
      </c>
      <c r="C1304" s="77" t="str">
        <f>VLOOKUP(B1304,IF(A1304="COMPOSICAO",S!$A:$D,I!$A:$D),2,FALSE)</f>
        <v>AREIA GROSSA</v>
      </c>
      <c r="D1304" s="77"/>
      <c r="E1304" s="77"/>
      <c r="F1304" s="77"/>
      <c r="G1304" s="16" t="str">
        <f>VLOOKUP(B1304,IF(A1304="COMPOSICAO",S!$A:$D,I!$A:$D),3,FALSE)</f>
        <v>M3</v>
      </c>
      <c r="H1304" s="17">
        <v>1.1499999999999999</v>
      </c>
      <c r="I1304" s="17">
        <f>IF(A1304="COMPOSICAO",VLOOKUP("TOTAL - "&amp;B1304,COMPOSICAO_AUX_2!$A:$J,10,FALSE),VLOOKUP(B1304,I!$A:$D,4,FALSE))</f>
        <v>74.72</v>
      </c>
      <c r="J1304" s="80">
        <f>TRUNC(H1304*I1304,2)</f>
        <v>85.92</v>
      </c>
      <c r="K1304" s="81"/>
    </row>
    <row r="1305" spans="1:13" ht="15" customHeight="1" x14ac:dyDescent="0.25">
      <c r="A1305" s="23" t="s">
        <v>708</v>
      </c>
      <c r="B1305" s="24"/>
      <c r="C1305" s="24"/>
      <c r="D1305" s="24"/>
      <c r="E1305" s="24"/>
      <c r="F1305" s="24"/>
      <c r="G1305" s="25"/>
      <c r="H1305" s="26"/>
      <c r="I1305" s="27"/>
      <c r="J1305" s="80">
        <f>SUM(J1302:K1304)</f>
        <v>108.2</v>
      </c>
      <c r="K1305" s="81"/>
    </row>
    <row r="1306" spans="1:13" ht="15" customHeight="1" x14ac:dyDescent="0.25">
      <c r="A1306" s="3"/>
      <c r="B1306" s="3"/>
      <c r="C1306" s="3"/>
      <c r="D1306" s="3"/>
      <c r="E1306" s="3"/>
      <c r="F1306" s="3"/>
      <c r="G1306" s="3"/>
      <c r="H1306" s="3"/>
      <c r="I1306" s="3"/>
      <c r="J1306" s="3"/>
      <c r="K1306" s="3"/>
    </row>
    <row r="1307" spans="1:13" ht="15" customHeight="1" x14ac:dyDescent="0.25">
      <c r="A1307" s="10" t="s">
        <v>295</v>
      </c>
      <c r="B1307" s="10" t="s">
        <v>31</v>
      </c>
      <c r="C1307" s="82" t="s">
        <v>7</v>
      </c>
      <c r="D1307" s="83"/>
      <c r="E1307" s="83"/>
      <c r="F1307" s="83"/>
      <c r="G1307" s="6" t="s">
        <v>32</v>
      </c>
      <c r="H1307" s="6" t="s">
        <v>296</v>
      </c>
      <c r="I1307" s="6" t="s">
        <v>297</v>
      </c>
      <c r="J1307" s="57" t="s">
        <v>9</v>
      </c>
      <c r="K1307" s="58"/>
    </row>
    <row r="1308" spans="1:13" ht="15" customHeight="1" x14ac:dyDescent="0.25">
      <c r="A1308" s="6" t="s">
        <v>11</v>
      </c>
      <c r="B1308" s="6" t="s">
        <v>448</v>
      </c>
      <c r="C1308" s="91" t="str">
        <f>VLOOKUP(B1308,S!$A:$D,2,FALSE)</f>
        <v>LASTRO DE BRITA</v>
      </c>
      <c r="D1308" s="91"/>
      <c r="E1308" s="91"/>
      <c r="F1308" s="92"/>
      <c r="G1308" s="6" t="str">
        <f>VLOOKUP(B1308,S!$A:$D,3,FALSE)</f>
        <v>M3</v>
      </c>
      <c r="H1308" s="21"/>
      <c r="I1308" s="21">
        <f>J1311</f>
        <v>121.89</v>
      </c>
      <c r="J1308" s="76"/>
      <c r="K1308" s="72"/>
      <c r="L1308" s="21">
        <f>VLOOKUP(B1308,S!$A:$D,4,FALSE)</f>
        <v>121.9</v>
      </c>
      <c r="M1308" s="6" t="str">
        <f>IF(ROUND((L1308-I1308),2)=0,"OK, confere com a tabela.",IF(ROUND((L1308-I1308),2)&lt;0,"ACIMA ("&amp;TEXT(ROUND(I1308*100/L1308,4),"0,0000")&amp;" %) da tabela.","ABAIXO ("&amp;TEXT(ROUND(I1308*100/L1308,4),"0,0000")&amp;" %) da tabela."))</f>
        <v>ABAIXO (99,9918 %) da tabela.</v>
      </c>
    </row>
    <row r="1309" spans="1:13" ht="15" customHeight="1" x14ac:dyDescent="0.25">
      <c r="A1309" s="16" t="s">
        <v>306</v>
      </c>
      <c r="B1309" s="16" t="s">
        <v>355</v>
      </c>
      <c r="C1309" s="77" t="str">
        <f>VLOOKUP(B1309,IF(A1309="COMPOSICAO",S!$A:$D,I!$A:$D),2,FALSE)</f>
        <v>SERVENTE</v>
      </c>
      <c r="D1309" s="77"/>
      <c r="E1309" s="77"/>
      <c r="F1309" s="77"/>
      <c r="G1309" s="16" t="str">
        <f>VLOOKUP(B1309,IF(A1309="COMPOSICAO",S!$A:$D,I!$A:$D),3,FALSE)</f>
        <v>H</v>
      </c>
      <c r="H1309" s="17">
        <v>2</v>
      </c>
      <c r="I1309" s="17">
        <f>IF(A1309="COMPOSICAO",VLOOKUP("TOTAL - "&amp;B1309,COMPOSICAO_AUX_2!$A:$J,10,FALSE),VLOOKUP(B1309,I!$A:$D,4,FALSE))</f>
        <v>17.14</v>
      </c>
      <c r="J1309" s="80">
        <f>TRUNC(H1309*I1309,2)</f>
        <v>34.28</v>
      </c>
      <c r="K1309" s="81"/>
    </row>
    <row r="1310" spans="1:13" ht="15" customHeight="1" x14ac:dyDescent="0.25">
      <c r="A1310" s="16" t="s">
        <v>306</v>
      </c>
      <c r="B1310" s="16" t="s">
        <v>709</v>
      </c>
      <c r="C1310" s="77" t="str">
        <f>VLOOKUP(B1310,IF(A1310="COMPOSICAO",S!$A:$D,I!$A:$D),2,FALSE)</f>
        <v>BRITA</v>
      </c>
      <c r="D1310" s="77"/>
      <c r="E1310" s="77"/>
      <c r="F1310" s="77"/>
      <c r="G1310" s="16" t="str">
        <f>VLOOKUP(B1310,IF(A1310="COMPOSICAO",S!$A:$D,I!$A:$D),3,FALSE)</f>
        <v>M3</v>
      </c>
      <c r="H1310" s="17">
        <v>1.1499999999999999</v>
      </c>
      <c r="I1310" s="17">
        <f>IF(A1310="COMPOSICAO",VLOOKUP("TOTAL - "&amp;B1310,COMPOSICAO_AUX_2!$A:$J,10,FALSE),VLOOKUP(B1310,I!$A:$D,4,FALSE))</f>
        <v>76.19</v>
      </c>
      <c r="J1310" s="80">
        <f>TRUNC(H1310*I1310,2)</f>
        <v>87.61</v>
      </c>
      <c r="K1310" s="81"/>
    </row>
    <row r="1311" spans="1:13" ht="15" customHeight="1" x14ac:dyDescent="0.25">
      <c r="A1311" s="23" t="s">
        <v>710</v>
      </c>
      <c r="B1311" s="24"/>
      <c r="C1311" s="24"/>
      <c r="D1311" s="24"/>
      <c r="E1311" s="24"/>
      <c r="F1311" s="24"/>
      <c r="G1311" s="25"/>
      <c r="H1311" s="26"/>
      <c r="I1311" s="27"/>
      <c r="J1311" s="80">
        <f>SUM(J1308:K1310)</f>
        <v>121.89</v>
      </c>
      <c r="K1311" s="81"/>
    </row>
    <row r="1312" spans="1:13" ht="15" customHeight="1" x14ac:dyDescent="0.25">
      <c r="A1312" s="3"/>
      <c r="B1312" s="3"/>
      <c r="C1312" s="3"/>
      <c r="D1312" s="3"/>
      <c r="E1312" s="3"/>
      <c r="F1312" s="3"/>
      <c r="G1312" s="3"/>
      <c r="H1312" s="3"/>
      <c r="I1312" s="3"/>
      <c r="J1312" s="3"/>
      <c r="K1312" s="3"/>
    </row>
    <row r="1313" spans="1:13" ht="15" customHeight="1" x14ac:dyDescent="0.25">
      <c r="A1313" s="10" t="s">
        <v>295</v>
      </c>
      <c r="B1313" s="10" t="s">
        <v>31</v>
      </c>
      <c r="C1313" s="82" t="s">
        <v>7</v>
      </c>
      <c r="D1313" s="83"/>
      <c r="E1313" s="83"/>
      <c r="F1313" s="83"/>
      <c r="G1313" s="6" t="s">
        <v>32</v>
      </c>
      <c r="H1313" s="6" t="s">
        <v>296</v>
      </c>
      <c r="I1313" s="6" t="s">
        <v>297</v>
      </c>
      <c r="J1313" s="57" t="s">
        <v>9</v>
      </c>
      <c r="K1313" s="58"/>
    </row>
    <row r="1314" spans="1:13" ht="30" customHeight="1" x14ac:dyDescent="0.25">
      <c r="A1314" s="6" t="s">
        <v>11</v>
      </c>
      <c r="B1314" s="6" t="s">
        <v>449</v>
      </c>
      <c r="C1314" s="91" t="str">
        <f>VLOOKUP(B1314,S!$A:$D,2,FALSE)</f>
        <v>REATERRO C/COMPACTAÇÃO MANUAL S/CONTROLE, MATERIAL DA VALA</v>
      </c>
      <c r="D1314" s="91"/>
      <c r="E1314" s="91"/>
      <c r="F1314" s="92"/>
      <c r="G1314" s="6" t="str">
        <f>VLOOKUP(B1314,S!$A:$D,3,FALSE)</f>
        <v>M3</v>
      </c>
      <c r="H1314" s="21"/>
      <c r="I1314" s="21">
        <f>J1316</f>
        <v>29.13</v>
      </c>
      <c r="J1314" s="76"/>
      <c r="K1314" s="72"/>
      <c r="L1314" s="21">
        <f>VLOOKUP(B1314,S!$A:$D,4,FALSE)</f>
        <v>29.14</v>
      </c>
      <c r="M1314" s="6" t="str">
        <f>IF(ROUND((L1314-I1314),2)=0,"OK, confere com a tabela.",IF(ROUND((L1314-I1314),2)&lt;0,"ACIMA ("&amp;TEXT(ROUND(I1314*100/L1314,4),"0,0000")&amp;" %) da tabela.","ABAIXO ("&amp;TEXT(ROUND(I1314*100/L1314,4),"0,0000")&amp;" %) da tabela."))</f>
        <v>ABAIXO (99,9657 %) da tabela.</v>
      </c>
    </row>
    <row r="1315" spans="1:13" ht="15" customHeight="1" x14ac:dyDescent="0.25">
      <c r="A1315" s="16" t="s">
        <v>306</v>
      </c>
      <c r="B1315" s="16" t="s">
        <v>355</v>
      </c>
      <c r="C1315" s="77" t="str">
        <f>VLOOKUP(B1315,IF(A1315="COMPOSICAO",S!$A:$D,I!$A:$D),2,FALSE)</f>
        <v>SERVENTE</v>
      </c>
      <c r="D1315" s="77"/>
      <c r="E1315" s="77"/>
      <c r="F1315" s="77"/>
      <c r="G1315" s="16" t="str">
        <f>VLOOKUP(B1315,IF(A1315="COMPOSICAO",S!$A:$D,I!$A:$D),3,FALSE)</f>
        <v>H</v>
      </c>
      <c r="H1315" s="17">
        <v>1.7</v>
      </c>
      <c r="I1315" s="17">
        <f>IF(A1315="COMPOSICAO",VLOOKUP("TOTAL - "&amp;B1315,COMPOSICAO_AUX_2!$A:$J,10,FALSE),VLOOKUP(B1315,I!$A:$D,4,FALSE))</f>
        <v>17.14</v>
      </c>
      <c r="J1315" s="80">
        <f>TRUNC(H1315*I1315,2)</f>
        <v>29.13</v>
      </c>
      <c r="K1315" s="81"/>
    </row>
    <row r="1316" spans="1:13" ht="15" customHeight="1" x14ac:dyDescent="0.25">
      <c r="A1316" s="23" t="s">
        <v>711</v>
      </c>
      <c r="B1316" s="24"/>
      <c r="C1316" s="24"/>
      <c r="D1316" s="24"/>
      <c r="E1316" s="24"/>
      <c r="F1316" s="24"/>
      <c r="G1316" s="25"/>
      <c r="H1316" s="26"/>
      <c r="I1316" s="27"/>
      <c r="J1316" s="80">
        <f>SUM(J1314:K1315)</f>
        <v>29.13</v>
      </c>
      <c r="K1316" s="81"/>
    </row>
    <row r="1317" spans="1:13" ht="15" customHeight="1" x14ac:dyDescent="0.25">
      <c r="A1317" s="3"/>
      <c r="B1317" s="3"/>
      <c r="C1317" s="3"/>
      <c r="D1317" s="3"/>
      <c r="E1317" s="3"/>
      <c r="F1317" s="3"/>
      <c r="G1317" s="3"/>
      <c r="H1317" s="3"/>
      <c r="I1317" s="3"/>
      <c r="J1317" s="3"/>
      <c r="K1317" s="3"/>
    </row>
    <row r="1318" spans="1:13" ht="15" customHeight="1" x14ac:dyDescent="0.25">
      <c r="A1318" s="10" t="s">
        <v>295</v>
      </c>
      <c r="B1318" s="10" t="s">
        <v>31</v>
      </c>
      <c r="C1318" s="82" t="s">
        <v>7</v>
      </c>
      <c r="D1318" s="83"/>
      <c r="E1318" s="83"/>
      <c r="F1318" s="83"/>
      <c r="G1318" s="6" t="s">
        <v>32</v>
      </c>
      <c r="H1318" s="6" t="s">
        <v>296</v>
      </c>
      <c r="I1318" s="6" t="s">
        <v>297</v>
      </c>
      <c r="J1318" s="57" t="s">
        <v>9</v>
      </c>
      <c r="K1318" s="58"/>
    </row>
    <row r="1319" spans="1:13" ht="30" customHeight="1" x14ac:dyDescent="0.25">
      <c r="A1319" s="6" t="s">
        <v>502</v>
      </c>
      <c r="B1319" s="28">
        <v>88267</v>
      </c>
      <c r="C1319" s="91" t="str">
        <f>VLOOKUP(B1319,S!$A:$D,2,FALSE)</f>
        <v>ENCANADOR OU BOMBEIRO HIDRÁULICO COM ENCARGOS COMPLEMENTARES</v>
      </c>
      <c r="D1319" s="91"/>
      <c r="E1319" s="91"/>
      <c r="F1319" s="92"/>
      <c r="G1319" s="6" t="str">
        <f>VLOOKUP(B1319,S!$A:$D,3,FALSE)</f>
        <v>H</v>
      </c>
      <c r="H1319" s="21"/>
      <c r="I1319" s="21">
        <f>J1328</f>
        <v>19.37</v>
      </c>
      <c r="J1319" s="76"/>
      <c r="K1319" s="72"/>
      <c r="L1319" s="21">
        <f>VLOOKUP(B1319,S!$A:$D,4,FALSE)</f>
        <v>19.37</v>
      </c>
      <c r="M1319" s="6" t="str">
        <f>IF(ROUND((L1319-I1319),2)=0,"OK, confere com a tabela.",IF(ROUND((L1319-I1319),2)&lt;0,"ACIMA ("&amp;TEXT(ROUND(I1319*100/L1319,4),"0,0000")&amp;" %) da tabela.","ABAIXO ("&amp;TEXT(ROUND(I1319*100/L1319,4),"0,0000")&amp;" %) da tabela."))</f>
        <v>OK, confere com a tabela.</v>
      </c>
    </row>
    <row r="1320" spans="1:13" ht="15" customHeight="1" x14ac:dyDescent="0.25">
      <c r="A1320" s="16" t="s">
        <v>306</v>
      </c>
      <c r="B1320" s="20">
        <v>2696</v>
      </c>
      <c r="C1320" s="77" t="str">
        <f>VLOOKUP(B1320,IF(A1320="COMPOSICAO",S!$A:$D,I!$A:$D),2,FALSE)</f>
        <v>ENCANADOR OU BOMBEIRO HIDRAULICO</v>
      </c>
      <c r="D1320" s="77"/>
      <c r="E1320" s="77"/>
      <c r="F1320" s="77"/>
      <c r="G1320" s="16" t="str">
        <f>VLOOKUP(B1320,IF(A1320="COMPOSICAO",S!$A:$D,I!$A:$D),3,FALSE)</f>
        <v>H</v>
      </c>
      <c r="H1320" s="17">
        <v>1</v>
      </c>
      <c r="I1320" s="17">
        <f>IF(A1320="COMPOSICAO",VLOOKUP("TOTAL - "&amp;B1320,COMPOSICAO_AUX_2!$A:$J,10,FALSE),VLOOKUP(B1320,I!$A:$D,4,FALSE))</f>
        <v>14.93</v>
      </c>
      <c r="J1320" s="80">
        <f t="shared" ref="J1320:J1327" si="58">TRUNC(H1320*I1320,2)</f>
        <v>14.93</v>
      </c>
      <c r="K1320" s="81"/>
    </row>
    <row r="1321" spans="1:13" ht="15" customHeight="1" x14ac:dyDescent="0.25">
      <c r="A1321" s="16" t="s">
        <v>306</v>
      </c>
      <c r="B1321" s="20">
        <v>37370</v>
      </c>
      <c r="C1321" s="77" t="str">
        <f>VLOOKUP(B1321,IF(A1321="COMPOSICAO",S!$A:$D,I!$A:$D),2,FALSE)</f>
        <v>ALIMENTACAO - HORISTA (COLETADO CAIXA)</v>
      </c>
      <c r="D1321" s="77"/>
      <c r="E1321" s="77"/>
      <c r="F1321" s="77"/>
      <c r="G1321" s="16" t="str">
        <f>VLOOKUP(B1321,IF(A1321="COMPOSICAO",S!$A:$D,I!$A:$D),3,FALSE)</f>
        <v>H</v>
      </c>
      <c r="H1321" s="17">
        <v>1</v>
      </c>
      <c r="I1321" s="17">
        <f>IF(A1321="COMPOSICAO",VLOOKUP("TOTAL - "&amp;B1321,COMPOSICAO_AUX_2!$A:$J,10,FALSE),VLOOKUP(B1321,I!$A:$D,4,FALSE))</f>
        <v>1.86</v>
      </c>
      <c r="J1321" s="80">
        <f t="shared" si="58"/>
        <v>1.86</v>
      </c>
      <c r="K1321" s="81"/>
    </row>
    <row r="1322" spans="1:13" ht="15" customHeight="1" x14ac:dyDescent="0.25">
      <c r="A1322" s="16" t="s">
        <v>306</v>
      </c>
      <c r="B1322" s="20">
        <v>37371</v>
      </c>
      <c r="C1322" s="77" t="str">
        <f>VLOOKUP(B1322,IF(A1322="COMPOSICAO",S!$A:$D,I!$A:$D),2,FALSE)</f>
        <v>TRANSPORTE - HORISTA (COLETADO CAIXA)</v>
      </c>
      <c r="D1322" s="77"/>
      <c r="E1322" s="77"/>
      <c r="F1322" s="77"/>
      <c r="G1322" s="16" t="str">
        <f>VLOOKUP(B1322,IF(A1322="COMPOSICAO",S!$A:$D,I!$A:$D),3,FALSE)</f>
        <v>H</v>
      </c>
      <c r="H1322" s="17">
        <v>1</v>
      </c>
      <c r="I1322" s="17">
        <f>IF(A1322="COMPOSICAO",VLOOKUP("TOTAL - "&amp;B1322,COMPOSICAO_AUX_2!$A:$J,10,FALSE),VLOOKUP(B1322,I!$A:$D,4,FALSE))</f>
        <v>0.7</v>
      </c>
      <c r="J1322" s="80">
        <f t="shared" si="58"/>
        <v>0.7</v>
      </c>
      <c r="K1322" s="81"/>
    </row>
    <row r="1323" spans="1:13" ht="15" customHeight="1" x14ac:dyDescent="0.25">
      <c r="A1323" s="16" t="s">
        <v>306</v>
      </c>
      <c r="B1323" s="20">
        <v>37372</v>
      </c>
      <c r="C1323" s="77" t="str">
        <f>VLOOKUP(B1323,IF(A1323="COMPOSICAO",S!$A:$D,I!$A:$D),2,FALSE)</f>
        <v>EXAMES - HORISTA (COLETADO CAIXA)</v>
      </c>
      <c r="D1323" s="77"/>
      <c r="E1323" s="77"/>
      <c r="F1323" s="77"/>
      <c r="G1323" s="16" t="str">
        <f>VLOOKUP(B1323,IF(A1323="COMPOSICAO",S!$A:$D,I!$A:$D),3,FALSE)</f>
        <v>H</v>
      </c>
      <c r="H1323" s="17">
        <v>1</v>
      </c>
      <c r="I1323" s="17">
        <f>IF(A1323="COMPOSICAO",VLOOKUP("TOTAL - "&amp;B1323,COMPOSICAO_AUX_2!$A:$J,10,FALSE),VLOOKUP(B1323,I!$A:$D,4,FALSE))</f>
        <v>0.55000000000000004</v>
      </c>
      <c r="J1323" s="80">
        <f t="shared" si="58"/>
        <v>0.55000000000000004</v>
      </c>
      <c r="K1323" s="81"/>
    </row>
    <row r="1324" spans="1:13" ht="15" customHeight="1" x14ac:dyDescent="0.25">
      <c r="A1324" s="16" t="s">
        <v>306</v>
      </c>
      <c r="B1324" s="20">
        <v>37373</v>
      </c>
      <c r="C1324" s="77" t="str">
        <f>VLOOKUP(B1324,IF(A1324="COMPOSICAO",S!$A:$D,I!$A:$D),2,FALSE)</f>
        <v>SEGURO - HORISTA (COLETADO CAIXA)</v>
      </c>
      <c r="D1324" s="77"/>
      <c r="E1324" s="77"/>
      <c r="F1324" s="77"/>
      <c r="G1324" s="16" t="str">
        <f>VLOOKUP(B1324,IF(A1324="COMPOSICAO",S!$A:$D,I!$A:$D),3,FALSE)</f>
        <v>H</v>
      </c>
      <c r="H1324" s="17">
        <v>1</v>
      </c>
      <c r="I1324" s="17">
        <f>IF(A1324="COMPOSICAO",VLOOKUP("TOTAL - "&amp;B1324,COMPOSICAO_AUX_2!$A:$J,10,FALSE),VLOOKUP(B1324,I!$A:$D,4,FALSE))</f>
        <v>0.06</v>
      </c>
      <c r="J1324" s="80">
        <f t="shared" si="58"/>
        <v>0.06</v>
      </c>
      <c r="K1324" s="81"/>
    </row>
    <row r="1325" spans="1:13" ht="30" customHeight="1" x14ac:dyDescent="0.25">
      <c r="A1325" s="16" t="s">
        <v>306</v>
      </c>
      <c r="B1325" s="20">
        <v>43461</v>
      </c>
      <c r="C1325" s="77" t="str">
        <f>VLOOKUP(B1325,IF(A1325="COMPOSICAO",S!$A:$D,I!$A:$D),2,FALSE)</f>
        <v>FERRAMENTAS - FAMILIA ENCANADOR - HORISTA (ENCARGOS COMPLEMENTARES - COLETADO CAIXA)</v>
      </c>
      <c r="D1325" s="77"/>
      <c r="E1325" s="77"/>
      <c r="F1325" s="77"/>
      <c r="G1325" s="16" t="str">
        <f>VLOOKUP(B1325,IF(A1325="COMPOSICAO",S!$A:$D,I!$A:$D),3,FALSE)</f>
        <v>H</v>
      </c>
      <c r="H1325" s="17">
        <v>1</v>
      </c>
      <c r="I1325" s="17">
        <f>IF(A1325="COMPOSICAO",VLOOKUP("TOTAL - "&amp;B1325,COMPOSICAO_AUX_2!$A:$J,10,FALSE),VLOOKUP(B1325,I!$A:$D,4,FALSE))</f>
        <v>0.28000000000000003</v>
      </c>
      <c r="J1325" s="80">
        <f t="shared" si="58"/>
        <v>0.28000000000000003</v>
      </c>
      <c r="K1325" s="81"/>
    </row>
    <row r="1326" spans="1:13" ht="30" customHeight="1" x14ac:dyDescent="0.25">
      <c r="A1326" s="16" t="s">
        <v>306</v>
      </c>
      <c r="B1326" s="20">
        <v>43485</v>
      </c>
      <c r="C1326" s="77" t="str">
        <f>VLOOKUP(B1326,IF(A1326="COMPOSICAO",S!$A:$D,I!$A:$D),2,FALSE)</f>
        <v>EPI - FAMILIA ENCANADOR - HORISTA (ENCARGOS COMPLEMENTARES - COLETADO CAIXA)</v>
      </c>
      <c r="D1326" s="77"/>
      <c r="E1326" s="77"/>
      <c r="F1326" s="77"/>
      <c r="G1326" s="16" t="str">
        <f>VLOOKUP(B1326,IF(A1326="COMPOSICAO",S!$A:$D,I!$A:$D),3,FALSE)</f>
        <v>H</v>
      </c>
      <c r="H1326" s="17">
        <v>1</v>
      </c>
      <c r="I1326" s="17">
        <f>IF(A1326="COMPOSICAO",VLOOKUP("TOTAL - "&amp;B1326,COMPOSICAO_AUX_2!$A:$J,10,FALSE),VLOOKUP(B1326,I!$A:$D,4,FALSE))</f>
        <v>0.8</v>
      </c>
      <c r="J1326" s="80">
        <f t="shared" si="58"/>
        <v>0.8</v>
      </c>
      <c r="K1326" s="81"/>
    </row>
    <row r="1327" spans="1:13" ht="45" customHeight="1" x14ac:dyDescent="0.25">
      <c r="A1327" s="16" t="s">
        <v>302</v>
      </c>
      <c r="B1327" s="20">
        <v>95335</v>
      </c>
      <c r="C1327" s="77" t="str">
        <f>VLOOKUP(B1327,IF(A1327="COMPOSICAO",S!$A:$D,I!$A:$D),2,FALSE)</f>
        <v>CURSO DE CAPACITAÇÃO PARA ENCANADOR OU BOMBEIRO HIDRÁULICO (ENCARGOS COMPLEMENTARES) - HORISTA</v>
      </c>
      <c r="D1327" s="77"/>
      <c r="E1327" s="77"/>
      <c r="F1327" s="77"/>
      <c r="G1327" s="16" t="str">
        <f>VLOOKUP(B1327,IF(A1327="COMPOSICAO",S!$A:$D,I!$A:$D),3,FALSE)</f>
        <v>H</v>
      </c>
      <c r="H1327" s="17">
        <v>1</v>
      </c>
      <c r="I1327" s="17">
        <f>IF(A1327="COMPOSICAO",VLOOKUP("TOTAL - "&amp;B1327,COMPOSICAO_AUX_2!$A:$J,10,FALSE),VLOOKUP(B1327,I!$A:$D,4,FALSE))</f>
        <v>0.19</v>
      </c>
      <c r="J1327" s="80">
        <f t="shared" si="58"/>
        <v>0.19</v>
      </c>
      <c r="K1327" s="81"/>
    </row>
    <row r="1328" spans="1:13" ht="15" customHeight="1" x14ac:dyDescent="0.25">
      <c r="A1328" s="23" t="s">
        <v>712</v>
      </c>
      <c r="B1328" s="24"/>
      <c r="C1328" s="24"/>
      <c r="D1328" s="24"/>
      <c r="E1328" s="24"/>
      <c r="F1328" s="24"/>
      <c r="G1328" s="25"/>
      <c r="H1328" s="26"/>
      <c r="I1328" s="27"/>
      <c r="J1328" s="80">
        <f>SUM(J1319:K1327)</f>
        <v>19.37</v>
      </c>
      <c r="K1328" s="81"/>
    </row>
    <row r="1329" spans="1:13" ht="15" customHeight="1" x14ac:dyDescent="0.25">
      <c r="A1329" s="3"/>
      <c r="B1329" s="3"/>
      <c r="C1329" s="3"/>
      <c r="D1329" s="3"/>
      <c r="E1329" s="3"/>
      <c r="F1329" s="3"/>
      <c r="G1329" s="3"/>
      <c r="H1329" s="3"/>
      <c r="I1329" s="3"/>
      <c r="J1329" s="3"/>
      <c r="K1329" s="3"/>
    </row>
    <row r="1330" spans="1:13" ht="15" customHeight="1" x14ac:dyDescent="0.25">
      <c r="A1330" s="10" t="s">
        <v>295</v>
      </c>
      <c r="B1330" s="10" t="s">
        <v>31</v>
      </c>
      <c r="C1330" s="82" t="s">
        <v>7</v>
      </c>
      <c r="D1330" s="83"/>
      <c r="E1330" s="83"/>
      <c r="F1330" s="83"/>
      <c r="G1330" s="6" t="s">
        <v>32</v>
      </c>
      <c r="H1330" s="6" t="s">
        <v>296</v>
      </c>
      <c r="I1330" s="6" t="s">
        <v>297</v>
      </c>
      <c r="J1330" s="57" t="s">
        <v>9</v>
      </c>
      <c r="K1330" s="58"/>
    </row>
    <row r="1331" spans="1:13" ht="15" customHeight="1" x14ac:dyDescent="0.25">
      <c r="A1331" s="6" t="s">
        <v>11</v>
      </c>
      <c r="B1331" s="6" t="s">
        <v>467</v>
      </c>
      <c r="C1331" s="91" t="str">
        <f>VLOOKUP(B1331,S!$A:$D,2,FALSE)</f>
        <v>ENCARGOS COMPLEMENTARES - ELETRICISTA</v>
      </c>
      <c r="D1331" s="91"/>
      <c r="E1331" s="91"/>
      <c r="F1331" s="92"/>
      <c r="G1331" s="6" t="str">
        <f>VLOOKUP(B1331,S!$A:$D,3,FALSE)</f>
        <v>H</v>
      </c>
      <c r="H1331" s="21"/>
      <c r="I1331" s="21">
        <f>J1350</f>
        <v>2.7900000000000005</v>
      </c>
      <c r="J1331" s="76"/>
      <c r="K1331" s="72"/>
      <c r="L1331" s="21">
        <f>VLOOKUP(B1331,S!$A:$D,4,FALSE)</f>
        <v>2.85</v>
      </c>
      <c r="M1331" s="6" t="str">
        <f>IF(ROUND((L1331-I1331),2)=0,"OK, confere com a tabela.",IF(ROUND((L1331-I1331),2)&lt;0,"ACIMA ("&amp;TEXT(ROUND(I1331*100/L1331,4),"0,0000")&amp;" %) da tabela.","ABAIXO ("&amp;TEXT(ROUND(I1331*100/L1331,4),"0,0000")&amp;" %) da tabela."))</f>
        <v>ABAIXO (97,8947 %) da tabela.</v>
      </c>
    </row>
    <row r="1332" spans="1:13" ht="15" customHeight="1" x14ac:dyDescent="0.25">
      <c r="A1332" s="16" t="s">
        <v>306</v>
      </c>
      <c r="B1332" s="16" t="s">
        <v>519</v>
      </c>
      <c r="C1332" s="77" t="str">
        <f>VLOOKUP(B1332,IF(A1332="COMPOSICAO",S!$A:$D,I!$A:$D),2,FALSE)</f>
        <v>ALMOÇO (PARTICIPAÇÃO DO EMPREGADOR)</v>
      </c>
      <c r="D1332" s="77"/>
      <c r="E1332" s="77"/>
      <c r="F1332" s="77"/>
      <c r="G1332" s="16" t="str">
        <f>VLOOKUP(B1332,IF(A1332="COMPOSICAO",S!$A:$D,I!$A:$D),3,FALSE)</f>
        <v>UN</v>
      </c>
      <c r="H1332" s="29">
        <v>0.1018</v>
      </c>
      <c r="I1332" s="17">
        <f>IF(A1332="COMPOSICAO",VLOOKUP("TOTAL - "&amp;B1332,COMPOSICAO_AUX_2!$A:$J,10,FALSE),VLOOKUP(B1332,I!$A:$D,4,FALSE))</f>
        <v>10</v>
      </c>
      <c r="J1332" s="80">
        <f t="shared" ref="J1332:J1349" si="59">TRUNC(H1332*I1332,2)</f>
        <v>1.01</v>
      </c>
      <c r="K1332" s="81"/>
    </row>
    <row r="1333" spans="1:13" ht="15" customHeight="1" x14ac:dyDescent="0.25">
      <c r="A1333" s="16" t="s">
        <v>306</v>
      </c>
      <c r="B1333" s="16" t="s">
        <v>520</v>
      </c>
      <c r="C1333" s="77" t="str">
        <f>VLOOKUP(B1333,IF(A1333="COMPOSICAO",S!$A:$D,I!$A:$D),2,FALSE)</f>
        <v>FARDAMENTO</v>
      </c>
      <c r="D1333" s="77"/>
      <c r="E1333" s="77"/>
      <c r="F1333" s="77"/>
      <c r="G1333" s="16" t="str">
        <f>VLOOKUP(B1333,IF(A1333="COMPOSICAO",S!$A:$D,I!$A:$D),3,FALSE)</f>
        <v>UN</v>
      </c>
      <c r="H1333" s="29">
        <v>1.5E-3</v>
      </c>
      <c r="I1333" s="17">
        <f>IF(A1333="COMPOSICAO",VLOOKUP("TOTAL - "&amp;B1333,COMPOSICAO_AUX_2!$A:$J,10,FALSE),VLOOKUP(B1333,I!$A:$D,4,FALSE))</f>
        <v>78.53</v>
      </c>
      <c r="J1333" s="80">
        <f t="shared" si="59"/>
        <v>0.11</v>
      </c>
      <c r="K1333" s="81"/>
    </row>
    <row r="1334" spans="1:13" ht="15" customHeight="1" x14ac:dyDescent="0.25">
      <c r="A1334" s="16" t="s">
        <v>306</v>
      </c>
      <c r="B1334" s="16" t="s">
        <v>521</v>
      </c>
      <c r="C1334" s="77" t="str">
        <f>VLOOKUP(B1334,IF(A1334="COMPOSICAO",S!$A:$D,I!$A:$D),2,FALSE)</f>
        <v>ÓCULOS BRANCO PROTEÇÃO</v>
      </c>
      <c r="D1334" s="77"/>
      <c r="E1334" s="77"/>
      <c r="F1334" s="77"/>
      <c r="G1334" s="16" t="str">
        <f>VLOOKUP(B1334,IF(A1334="COMPOSICAO",S!$A:$D,I!$A:$D),3,FALSE)</f>
        <v>PR</v>
      </c>
      <c r="H1334" s="29">
        <v>8.0000000000000004E-4</v>
      </c>
      <c r="I1334" s="17">
        <f>IF(A1334="COMPOSICAO",VLOOKUP("TOTAL - "&amp;B1334,COMPOSICAO_AUX_2!$A:$J,10,FALSE),VLOOKUP(B1334,I!$A:$D,4,FALSE))</f>
        <v>5.9</v>
      </c>
      <c r="J1334" s="80">
        <f t="shared" si="59"/>
        <v>0</v>
      </c>
      <c r="K1334" s="81"/>
    </row>
    <row r="1335" spans="1:13" ht="15" customHeight="1" x14ac:dyDescent="0.25">
      <c r="A1335" s="16" t="s">
        <v>306</v>
      </c>
      <c r="B1335" s="16" t="s">
        <v>522</v>
      </c>
      <c r="C1335" s="77" t="str">
        <f>VLOOKUP(B1335,IF(A1335="COMPOSICAO",S!$A:$D,I!$A:$D),2,FALSE)</f>
        <v>VALE TRANSPORTE</v>
      </c>
      <c r="D1335" s="77"/>
      <c r="E1335" s="77"/>
      <c r="F1335" s="77"/>
      <c r="G1335" s="16" t="str">
        <f>VLOOKUP(B1335,IF(A1335="COMPOSICAO",S!$A:$D,I!$A:$D),3,FALSE)</f>
        <v>UN</v>
      </c>
      <c r="H1335" s="29">
        <v>6.54E-2</v>
      </c>
      <c r="I1335" s="17">
        <f>IF(A1335="COMPOSICAO",VLOOKUP("TOTAL - "&amp;B1335,COMPOSICAO_AUX_2!$A:$J,10,FALSE),VLOOKUP(B1335,I!$A:$D,4,FALSE))</f>
        <v>4</v>
      </c>
      <c r="J1335" s="80">
        <f t="shared" si="59"/>
        <v>0.26</v>
      </c>
      <c r="K1335" s="81"/>
    </row>
    <row r="1336" spans="1:13" ht="15" customHeight="1" x14ac:dyDescent="0.25">
      <c r="A1336" s="16" t="s">
        <v>306</v>
      </c>
      <c r="B1336" s="16" t="s">
        <v>525</v>
      </c>
      <c r="C1336" s="77" t="str">
        <f>VLOOKUP(B1336,IF(A1336="COMPOSICAO",S!$A:$D,I!$A:$D),2,FALSE)</f>
        <v>SEGURO DE VIDA E ACIDENTE EM GRUPO</v>
      </c>
      <c r="D1336" s="77"/>
      <c r="E1336" s="77"/>
      <c r="F1336" s="77"/>
      <c r="G1336" s="16" t="str">
        <f>VLOOKUP(B1336,IF(A1336="COMPOSICAO",S!$A:$D,I!$A:$D),3,FALSE)</f>
        <v>UN</v>
      </c>
      <c r="H1336" s="29">
        <v>4.4999999999999997E-3</v>
      </c>
      <c r="I1336" s="17">
        <f>IF(A1336="COMPOSICAO",VLOOKUP("TOTAL - "&amp;B1336,COMPOSICAO_AUX_2!$A:$J,10,FALSE),VLOOKUP(B1336,I!$A:$D,4,FALSE))</f>
        <v>12.54</v>
      </c>
      <c r="J1336" s="80">
        <f t="shared" si="59"/>
        <v>0.05</v>
      </c>
      <c r="K1336" s="81"/>
    </row>
    <row r="1337" spans="1:13" ht="15" customHeight="1" x14ac:dyDescent="0.25">
      <c r="A1337" s="16" t="s">
        <v>306</v>
      </c>
      <c r="B1337" s="16" t="s">
        <v>526</v>
      </c>
      <c r="C1337" s="77" t="str">
        <f>VLOOKUP(B1337,IF(A1337="COMPOSICAO",S!$A:$D,I!$A:$D),2,FALSE)</f>
        <v>CESTA BÁSICA</v>
      </c>
      <c r="D1337" s="77"/>
      <c r="E1337" s="77"/>
      <c r="F1337" s="77"/>
      <c r="G1337" s="16" t="str">
        <f>VLOOKUP(B1337,IF(A1337="COMPOSICAO",S!$A:$D,I!$A:$D),3,FALSE)</f>
        <v>UN</v>
      </c>
      <c r="H1337" s="29">
        <v>4.4999999999999997E-3</v>
      </c>
      <c r="I1337" s="17">
        <f>IF(A1337="COMPOSICAO",VLOOKUP("TOTAL - "&amp;B1337,COMPOSICAO_AUX_2!$A:$J,10,FALSE),VLOOKUP(B1337,I!$A:$D,4,FALSE))</f>
        <v>140</v>
      </c>
      <c r="J1337" s="80">
        <f t="shared" si="59"/>
        <v>0.63</v>
      </c>
      <c r="K1337" s="81"/>
    </row>
    <row r="1338" spans="1:13" ht="15" customHeight="1" x14ac:dyDescent="0.25">
      <c r="A1338" s="16" t="s">
        <v>306</v>
      </c>
      <c r="B1338" s="16" t="s">
        <v>527</v>
      </c>
      <c r="C1338" s="77" t="str">
        <f>VLOOKUP(B1338,IF(A1338="COMPOSICAO",S!$A:$D,I!$A:$D),2,FALSE)</f>
        <v>EXAMES ADMISSIONAIS/DEMISSIONAIS (CHECKUP)</v>
      </c>
      <c r="D1338" s="77"/>
      <c r="E1338" s="77"/>
      <c r="F1338" s="77"/>
      <c r="G1338" s="16" t="str">
        <f>VLOOKUP(B1338,IF(A1338="COMPOSICAO",S!$A:$D,I!$A:$D),3,FALSE)</f>
        <v>CJ</v>
      </c>
      <c r="H1338" s="29">
        <v>4.0000000000000002E-4</v>
      </c>
      <c r="I1338" s="17">
        <f>IF(A1338="COMPOSICAO",VLOOKUP("TOTAL - "&amp;B1338,COMPOSICAO_AUX_2!$A:$J,10,FALSE),VLOOKUP(B1338,I!$A:$D,4,FALSE))</f>
        <v>300</v>
      </c>
      <c r="J1338" s="80">
        <f t="shared" si="59"/>
        <v>0.12</v>
      </c>
      <c r="K1338" s="81"/>
    </row>
    <row r="1339" spans="1:13" ht="15" customHeight="1" x14ac:dyDescent="0.25">
      <c r="A1339" s="16" t="s">
        <v>306</v>
      </c>
      <c r="B1339" s="16" t="s">
        <v>713</v>
      </c>
      <c r="C1339" s="77" t="str">
        <f>VLOOKUP(B1339,IF(A1339="COMPOSICAO",S!$A:$D,I!$A:$D),2,FALSE)</f>
        <v>CHAVE DE FENDA CHATA 30 CM</v>
      </c>
      <c r="D1339" s="77"/>
      <c r="E1339" s="77"/>
      <c r="F1339" s="77"/>
      <c r="G1339" s="16" t="str">
        <f>VLOOKUP(B1339,IF(A1339="COMPOSICAO",S!$A:$D,I!$A:$D),3,FALSE)</f>
        <v>UN</v>
      </c>
      <c r="H1339" s="29">
        <v>2.0000000000000001E-4</v>
      </c>
      <c r="I1339" s="17">
        <f>IF(A1339="COMPOSICAO",VLOOKUP("TOTAL - "&amp;B1339,COMPOSICAO_AUX_2!$A:$J,10,FALSE),VLOOKUP(B1339,I!$A:$D,4,FALSE))</f>
        <v>22.89</v>
      </c>
      <c r="J1339" s="80">
        <f t="shared" si="59"/>
        <v>0</v>
      </c>
      <c r="K1339" s="81"/>
    </row>
    <row r="1340" spans="1:13" ht="15" customHeight="1" x14ac:dyDescent="0.25">
      <c r="A1340" s="16" t="s">
        <v>306</v>
      </c>
      <c r="B1340" s="16" t="s">
        <v>528</v>
      </c>
      <c r="C1340" s="77" t="str">
        <f>VLOOKUP(B1340,IF(A1340="COMPOSICAO",S!$A:$D,I!$A:$D),2,FALSE)</f>
        <v>PROTETOR AURICULAR</v>
      </c>
      <c r="D1340" s="77"/>
      <c r="E1340" s="77"/>
      <c r="F1340" s="77"/>
      <c r="G1340" s="16" t="str">
        <f>VLOOKUP(B1340,IF(A1340="COMPOSICAO",S!$A:$D,I!$A:$D),3,FALSE)</f>
        <v>UN</v>
      </c>
      <c r="H1340" s="29">
        <v>4.4999999999999997E-3</v>
      </c>
      <c r="I1340" s="17">
        <f>IF(A1340="COMPOSICAO",VLOOKUP("TOTAL - "&amp;B1340,COMPOSICAO_AUX_2!$A:$J,10,FALSE),VLOOKUP(B1340,I!$A:$D,4,FALSE))</f>
        <v>4.9000000000000004</v>
      </c>
      <c r="J1340" s="80">
        <f t="shared" si="59"/>
        <v>0.02</v>
      </c>
      <c r="K1340" s="81"/>
    </row>
    <row r="1341" spans="1:13" ht="15" customHeight="1" x14ac:dyDescent="0.25">
      <c r="A1341" s="16" t="s">
        <v>306</v>
      </c>
      <c r="B1341" s="16" t="s">
        <v>529</v>
      </c>
      <c r="C1341" s="77" t="str">
        <f>VLOOKUP(B1341,IF(A1341="COMPOSICAO",S!$A:$D,I!$A:$D),2,FALSE)</f>
        <v>PROTETOR SOLAR FPS 30 COM 120ML</v>
      </c>
      <c r="D1341" s="77"/>
      <c r="E1341" s="77"/>
      <c r="F1341" s="77"/>
      <c r="G1341" s="16" t="str">
        <f>VLOOKUP(B1341,IF(A1341="COMPOSICAO",S!$A:$D,I!$A:$D),3,FALSE)</f>
        <v>UN</v>
      </c>
      <c r="H1341" s="29">
        <v>1.8E-3</v>
      </c>
      <c r="I1341" s="17">
        <f>IF(A1341="COMPOSICAO",VLOOKUP("TOTAL - "&amp;B1341,COMPOSICAO_AUX_2!$A:$J,10,FALSE),VLOOKUP(B1341,I!$A:$D,4,FALSE))</f>
        <v>35.9</v>
      </c>
      <c r="J1341" s="80">
        <f t="shared" si="59"/>
        <v>0.06</v>
      </c>
      <c r="K1341" s="81"/>
    </row>
    <row r="1342" spans="1:13" ht="30" customHeight="1" x14ac:dyDescent="0.25">
      <c r="A1342" s="16" t="s">
        <v>306</v>
      </c>
      <c r="B1342" s="16" t="s">
        <v>530</v>
      </c>
      <c r="C1342" s="77" t="str">
        <f>VLOOKUP(B1342,IF(A1342="COMPOSICAO",S!$A:$D,I!$A:$D),2,FALSE)</f>
        <v>REFEIÇÃO - CAFÉ DA MANHÃ ( CAFÉ COM LEITE E DOIS PÃES COM MANTEIGA)</v>
      </c>
      <c r="D1342" s="77"/>
      <c r="E1342" s="77"/>
      <c r="F1342" s="77"/>
      <c r="G1342" s="16" t="str">
        <f>VLOOKUP(B1342,IF(A1342="COMPOSICAO",S!$A:$D,I!$A:$D),3,FALSE)</f>
        <v>UN</v>
      </c>
      <c r="H1342" s="29">
        <v>0.1018</v>
      </c>
      <c r="I1342" s="17">
        <f>IF(A1342="COMPOSICAO",VLOOKUP("TOTAL - "&amp;B1342,COMPOSICAO_AUX_2!$A:$J,10,FALSE),VLOOKUP(B1342,I!$A:$D,4,FALSE))</f>
        <v>4.5</v>
      </c>
      <c r="J1342" s="80">
        <f t="shared" si="59"/>
        <v>0.45</v>
      </c>
      <c r="K1342" s="81"/>
    </row>
    <row r="1343" spans="1:13" ht="15" customHeight="1" x14ac:dyDescent="0.25">
      <c r="A1343" s="16" t="s">
        <v>306</v>
      </c>
      <c r="B1343" s="16" t="s">
        <v>714</v>
      </c>
      <c r="C1343" s="77" t="str">
        <f>VLOOKUP(B1343,IF(A1343="COMPOSICAO",S!$A:$D,I!$A:$D),2,FALSE)</f>
        <v>ALICATE COM ISOLAMENTO</v>
      </c>
      <c r="D1343" s="77"/>
      <c r="E1343" s="77"/>
      <c r="F1343" s="77"/>
      <c r="G1343" s="16" t="str">
        <f>VLOOKUP(B1343,IF(A1343="COMPOSICAO",S!$A:$D,I!$A:$D),3,FALSE)</f>
        <v>UN</v>
      </c>
      <c r="H1343" s="29">
        <v>2.0000000000000001E-4</v>
      </c>
      <c r="I1343" s="17">
        <f>IF(A1343="COMPOSICAO",VLOOKUP("TOTAL - "&amp;B1343,COMPOSICAO_AUX_2!$A:$J,10,FALSE),VLOOKUP(B1343,I!$A:$D,4,FALSE))</f>
        <v>43.9</v>
      </c>
      <c r="J1343" s="80">
        <f t="shared" si="59"/>
        <v>0</v>
      </c>
      <c r="K1343" s="81"/>
    </row>
    <row r="1344" spans="1:13" ht="15" customHeight="1" x14ac:dyDescent="0.25">
      <c r="A1344" s="16" t="s">
        <v>306</v>
      </c>
      <c r="B1344" s="16" t="s">
        <v>715</v>
      </c>
      <c r="C1344" s="77" t="str">
        <f>VLOOKUP(B1344,IF(A1344="COMPOSICAO",S!$A:$D,I!$A:$D),2,FALSE)</f>
        <v>ALICATE VOLT-AMPERIMETRO</v>
      </c>
      <c r="D1344" s="77"/>
      <c r="E1344" s="77"/>
      <c r="F1344" s="77"/>
      <c r="G1344" s="16" t="str">
        <f>VLOOKUP(B1344,IF(A1344="COMPOSICAO",S!$A:$D,I!$A:$D),3,FALSE)</f>
        <v>UN</v>
      </c>
      <c r="H1344" s="29">
        <v>2.0000000000000001E-4</v>
      </c>
      <c r="I1344" s="17">
        <f>IF(A1344="COMPOSICAO",VLOOKUP("TOTAL - "&amp;B1344,COMPOSICAO_AUX_2!$A:$J,10,FALSE),VLOOKUP(B1344,I!$A:$D,4,FALSE))</f>
        <v>135.30000000000001</v>
      </c>
      <c r="J1344" s="80">
        <f t="shared" si="59"/>
        <v>0.02</v>
      </c>
      <c r="K1344" s="81"/>
    </row>
    <row r="1345" spans="1:13" ht="15" customHeight="1" x14ac:dyDescent="0.25">
      <c r="A1345" s="16" t="s">
        <v>306</v>
      </c>
      <c r="B1345" s="16" t="s">
        <v>716</v>
      </c>
      <c r="C1345" s="77" t="str">
        <f>VLOOKUP(B1345,IF(A1345="COMPOSICAO",S!$A:$D,I!$A:$D),2,FALSE)</f>
        <v>CHAVE INGLESA 12"</v>
      </c>
      <c r="D1345" s="77"/>
      <c r="E1345" s="77"/>
      <c r="F1345" s="77"/>
      <c r="G1345" s="16" t="str">
        <f>VLOOKUP(B1345,IF(A1345="COMPOSICAO",S!$A:$D,I!$A:$D),3,FALSE)</f>
        <v>UN</v>
      </c>
      <c r="H1345" s="29">
        <v>1E-4</v>
      </c>
      <c r="I1345" s="17">
        <f>IF(A1345="COMPOSICAO",VLOOKUP("TOTAL - "&amp;B1345,COMPOSICAO_AUX_2!$A:$J,10,FALSE),VLOOKUP(B1345,I!$A:$D,4,FALSE))</f>
        <v>47</v>
      </c>
      <c r="J1345" s="80">
        <f t="shared" si="59"/>
        <v>0</v>
      </c>
      <c r="K1345" s="81"/>
    </row>
    <row r="1346" spans="1:13" ht="30" customHeight="1" x14ac:dyDescent="0.25">
      <c r="A1346" s="16" t="s">
        <v>306</v>
      </c>
      <c r="B1346" s="20">
        <v>12892</v>
      </c>
      <c r="C1346" s="77" t="str">
        <f>VLOOKUP(B1346,IF(A1346="COMPOSICAO",S!$A:$D,I!$A:$D),2,FALSE)</f>
        <v>LUVA RASPA DE COURO, CANO CURTO (PUNHO *7* CM)</v>
      </c>
      <c r="D1346" s="77"/>
      <c r="E1346" s="77"/>
      <c r="F1346" s="77"/>
      <c r="G1346" s="16" t="str">
        <f>VLOOKUP(B1346,IF(A1346="COMPOSICAO",S!$A:$D,I!$A:$D),3,FALSE)</f>
        <v>PAR</v>
      </c>
      <c r="H1346" s="29">
        <v>2.3E-3</v>
      </c>
      <c r="I1346" s="17">
        <f>IF(A1346="COMPOSICAO",VLOOKUP("TOTAL - "&amp;B1346,COMPOSICAO_AUX_2!$A:$J,10,FALSE),VLOOKUP(B1346,I!$A:$D,4,FALSE))</f>
        <v>12.91</v>
      </c>
      <c r="J1346" s="80">
        <f t="shared" si="59"/>
        <v>0.02</v>
      </c>
      <c r="K1346" s="81"/>
    </row>
    <row r="1347" spans="1:13" ht="30" customHeight="1" x14ac:dyDescent="0.25">
      <c r="A1347" s="16" t="s">
        <v>306</v>
      </c>
      <c r="B1347" s="20">
        <v>12893</v>
      </c>
      <c r="C1347" s="77" t="str">
        <f>VLOOKUP(B1347,IF(A1347="COMPOSICAO",S!$A:$D,I!$A:$D),2,FALSE)</f>
        <v>BOTA DE SEGURANCA COM BIQUEIRA DE ACO E COLARINHO ACOLCHOADO</v>
      </c>
      <c r="D1347" s="77"/>
      <c r="E1347" s="77"/>
      <c r="F1347" s="77"/>
      <c r="G1347" s="16" t="str">
        <f>VLOOKUP(B1347,IF(A1347="COMPOSICAO",S!$A:$D,I!$A:$D),3,FALSE)</f>
        <v>PAR</v>
      </c>
      <c r="H1347" s="29">
        <v>6.9999999999999999E-4</v>
      </c>
      <c r="I1347" s="17">
        <f>IF(A1347="COMPOSICAO",VLOOKUP("TOTAL - "&amp;B1347,COMPOSICAO_AUX_2!$A:$J,10,FALSE),VLOOKUP(B1347,I!$A:$D,4,FALSE))</f>
        <v>68.88</v>
      </c>
      <c r="J1347" s="80">
        <f t="shared" si="59"/>
        <v>0.04</v>
      </c>
      <c r="K1347" s="81"/>
    </row>
    <row r="1348" spans="1:13" ht="30" customHeight="1" x14ac:dyDescent="0.25">
      <c r="A1348" s="16" t="s">
        <v>306</v>
      </c>
      <c r="B1348" s="20">
        <v>12894</v>
      </c>
      <c r="C1348" s="77" t="str">
        <f>VLOOKUP(B1348,IF(A1348="COMPOSICAO",S!$A:$D,I!$A:$D),2,FALSE)</f>
        <v>CAPA PARA CHUVA EM PVC COM FORRO DE POLIESTER, COM CAPUZ (AMARELA OU AZUL)</v>
      </c>
      <c r="D1348" s="77"/>
      <c r="E1348" s="77"/>
      <c r="F1348" s="77"/>
      <c r="G1348" s="16" t="str">
        <f>VLOOKUP(B1348,IF(A1348="COMPOSICAO",S!$A:$D,I!$A:$D),3,FALSE)</f>
        <v>UN</v>
      </c>
      <c r="H1348" s="29">
        <v>2.0000000000000001E-4</v>
      </c>
      <c r="I1348" s="17">
        <f>IF(A1348="COMPOSICAO",VLOOKUP("TOTAL - "&amp;B1348,COMPOSICAO_AUX_2!$A:$J,10,FALSE),VLOOKUP(B1348,I!$A:$D,4,FALSE))</f>
        <v>18.649999999999999</v>
      </c>
      <c r="J1348" s="80">
        <f t="shared" si="59"/>
        <v>0</v>
      </c>
      <c r="K1348" s="81"/>
    </row>
    <row r="1349" spans="1:13" ht="30" customHeight="1" x14ac:dyDescent="0.25">
      <c r="A1349" s="16" t="s">
        <v>306</v>
      </c>
      <c r="B1349" s="20">
        <v>12895</v>
      </c>
      <c r="C1349" s="77" t="str">
        <f>VLOOKUP(B1349,IF(A1349="COMPOSICAO",S!$A:$D,I!$A:$D),2,FALSE)</f>
        <v>CAPACETE DE SEGURANCA ABA FRONTAL COM SUSPENSAO DE POLIETILENO, SEM JUGULAR (CLASSE B)</v>
      </c>
      <c r="D1349" s="77"/>
      <c r="E1349" s="77"/>
      <c r="F1349" s="77"/>
      <c r="G1349" s="16" t="str">
        <f>VLOOKUP(B1349,IF(A1349="COMPOSICAO",S!$A:$D,I!$A:$D),3,FALSE)</f>
        <v>UN</v>
      </c>
      <c r="H1349" s="29">
        <v>5.9999999999999995E-4</v>
      </c>
      <c r="I1349" s="17">
        <f>IF(A1349="COMPOSICAO",VLOOKUP("TOTAL - "&amp;B1349,COMPOSICAO_AUX_2!$A:$J,10,FALSE),VLOOKUP(B1349,I!$A:$D,4,FALSE))</f>
        <v>14.35</v>
      </c>
      <c r="J1349" s="80">
        <f t="shared" si="59"/>
        <v>0</v>
      </c>
      <c r="K1349" s="81"/>
    </row>
    <row r="1350" spans="1:13" ht="15" customHeight="1" x14ac:dyDescent="0.25">
      <c r="A1350" s="23" t="s">
        <v>717</v>
      </c>
      <c r="B1350" s="24"/>
      <c r="C1350" s="24"/>
      <c r="D1350" s="24"/>
      <c r="E1350" s="24"/>
      <c r="F1350" s="24"/>
      <c r="G1350" s="25"/>
      <c r="H1350" s="26"/>
      <c r="I1350" s="27"/>
      <c r="J1350" s="80">
        <f>SUM(J1331:K1349)</f>
        <v>2.7900000000000005</v>
      </c>
      <c r="K1350" s="81"/>
    </row>
    <row r="1351" spans="1:13" ht="15" customHeight="1" x14ac:dyDescent="0.25">
      <c r="A1351" s="3"/>
      <c r="B1351" s="3"/>
      <c r="C1351" s="3"/>
      <c r="D1351" s="3"/>
      <c r="E1351" s="3"/>
      <c r="F1351" s="3"/>
      <c r="G1351" s="3"/>
      <c r="H1351" s="3"/>
      <c r="I1351" s="3"/>
      <c r="J1351" s="3"/>
      <c r="K1351" s="3"/>
    </row>
    <row r="1352" spans="1:13" ht="15" customHeight="1" x14ac:dyDescent="0.25">
      <c r="A1352" s="10" t="s">
        <v>295</v>
      </c>
      <c r="B1352" s="10" t="s">
        <v>31</v>
      </c>
      <c r="C1352" s="82" t="s">
        <v>7</v>
      </c>
      <c r="D1352" s="83"/>
      <c r="E1352" s="83"/>
      <c r="F1352" s="83"/>
      <c r="G1352" s="6" t="s">
        <v>32</v>
      </c>
      <c r="H1352" s="6" t="s">
        <v>296</v>
      </c>
      <c r="I1352" s="6" t="s">
        <v>297</v>
      </c>
      <c r="J1352" s="57" t="s">
        <v>9</v>
      </c>
      <c r="K1352" s="58"/>
    </row>
    <row r="1353" spans="1:13" ht="75" customHeight="1" x14ac:dyDescent="0.25">
      <c r="A1353" s="6" t="s">
        <v>502</v>
      </c>
      <c r="B1353" s="28">
        <v>87296</v>
      </c>
      <c r="C1353" s="91" t="str">
        <f>VLOOKUP(B1353,S!$A:$D,2,FALSE)</f>
        <v>ARGAMASSA TRAÇO 1:3:12 (EM VOLUME DE CIMENTO, CAL E AREIA MÉDIA ÚMIDA) PARA EMBOÇO/MASSA ÚNICA/ASSENTAMENTO DE ALVENARIA DE VEDAÇÃO, PREPARO MECÂNICO COM BETONEIRA 600 L. AF_08/2019</v>
      </c>
      <c r="D1353" s="91"/>
      <c r="E1353" s="91"/>
      <c r="F1353" s="92"/>
      <c r="G1353" s="6" t="str">
        <f>VLOOKUP(B1353,S!$A:$D,3,FALSE)</f>
        <v>M3</v>
      </c>
      <c r="H1353" s="21"/>
      <c r="I1353" s="21">
        <f>J1361</f>
        <v>427.45000000000005</v>
      </c>
      <c r="J1353" s="76"/>
      <c r="K1353" s="72"/>
      <c r="L1353" s="21">
        <f>VLOOKUP(B1353,S!$A:$D,4,FALSE)</f>
        <v>427.45</v>
      </c>
      <c r="M1353" s="6" t="str">
        <f>IF(ROUND((L1353-I1353),2)=0,"OK, confere com a tabela.",IF(ROUND((L1353-I1353),2)&lt;0,"ACIMA ("&amp;TEXT(ROUND(I1353*100/L1353,4),"0,0000")&amp;" %) da tabela.","ABAIXO ("&amp;TEXT(ROUND(I1353*100/L1353,4),"0,0000")&amp;" %) da tabela."))</f>
        <v>OK, confere com a tabela.</v>
      </c>
    </row>
    <row r="1354" spans="1:13" ht="30" customHeight="1" x14ac:dyDescent="0.25">
      <c r="A1354" s="16" t="s">
        <v>306</v>
      </c>
      <c r="B1354" s="20">
        <v>370</v>
      </c>
      <c r="C1354" s="77" t="str">
        <f>VLOOKUP(B1354,IF(A1354="COMPOSICAO",S!$A:$D,I!$A:$D),2,FALSE)</f>
        <v>AREIA MEDIA - POSTO JAZIDA/FORNECEDOR (RETIRADO NA JAZIDA, SEM TRANSPORTE)</v>
      </c>
      <c r="D1354" s="77"/>
      <c r="E1354" s="77"/>
      <c r="F1354" s="77"/>
      <c r="G1354" s="16" t="str">
        <f>VLOOKUP(B1354,IF(A1354="COMPOSICAO",S!$A:$D,I!$A:$D),3,FALSE)</f>
        <v>M3</v>
      </c>
      <c r="H1354" s="17">
        <v>1.21</v>
      </c>
      <c r="I1354" s="17">
        <f>IF(A1354="COMPOSICAO",VLOOKUP("TOTAL - "&amp;B1354,COMPOSICAO_AUX_2!$A:$J,10,FALSE),VLOOKUP(B1354,I!$A:$D,4,FALSE))</f>
        <v>54</v>
      </c>
      <c r="J1354" s="80">
        <f t="shared" ref="J1354:J1360" si="60">TRUNC(H1354*I1354,2)</f>
        <v>65.34</v>
      </c>
      <c r="K1354" s="81"/>
    </row>
    <row r="1355" spans="1:13" ht="15" customHeight="1" x14ac:dyDescent="0.25">
      <c r="A1355" s="16" t="s">
        <v>306</v>
      </c>
      <c r="B1355" s="20">
        <v>1106</v>
      </c>
      <c r="C1355" s="77" t="str">
        <f>VLOOKUP(B1355,IF(A1355="COMPOSICAO",S!$A:$D,I!$A:$D),2,FALSE)</f>
        <v>CAL HIDRATADA CH-I PARA ARGAMASSAS</v>
      </c>
      <c r="D1355" s="77"/>
      <c r="E1355" s="77"/>
      <c r="F1355" s="77"/>
      <c r="G1355" s="16" t="str">
        <f>VLOOKUP(B1355,IF(A1355="COMPOSICAO",S!$A:$D,I!$A:$D),3,FALSE)</f>
        <v>KG</v>
      </c>
      <c r="H1355" s="17">
        <v>181.19</v>
      </c>
      <c r="I1355" s="17">
        <f>IF(A1355="COMPOSICAO",VLOOKUP("TOTAL - "&amp;B1355,COMPOSICAO_AUX_2!$A:$J,10,FALSE),VLOOKUP(B1355,I!$A:$D,4,FALSE))</f>
        <v>1.02</v>
      </c>
      <c r="J1355" s="80">
        <f t="shared" si="60"/>
        <v>184.81</v>
      </c>
      <c r="K1355" s="81"/>
    </row>
    <row r="1356" spans="1:13" ht="15" customHeight="1" x14ac:dyDescent="0.25">
      <c r="A1356" s="16" t="s">
        <v>306</v>
      </c>
      <c r="B1356" s="20">
        <v>1379</v>
      </c>
      <c r="C1356" s="77" t="str">
        <f>VLOOKUP(B1356,IF(A1356="COMPOSICAO",S!$A:$D,I!$A:$D),2,FALSE)</f>
        <v>CIMENTO PORTLAND COMPOSTO CP II-32</v>
      </c>
      <c r="D1356" s="77"/>
      <c r="E1356" s="77"/>
      <c r="F1356" s="77"/>
      <c r="G1356" s="16" t="str">
        <f>VLOOKUP(B1356,IF(A1356="COMPOSICAO",S!$A:$D,I!$A:$D),3,FALSE)</f>
        <v>KG</v>
      </c>
      <c r="H1356" s="17">
        <v>135.88999999999999</v>
      </c>
      <c r="I1356" s="17">
        <f>IF(A1356="COMPOSICAO",VLOOKUP("TOTAL - "&amp;B1356,COMPOSICAO_AUX_2!$A:$J,10,FALSE),VLOOKUP(B1356,I!$A:$D,4,FALSE))</f>
        <v>0.7</v>
      </c>
      <c r="J1356" s="80">
        <f t="shared" si="60"/>
        <v>95.12</v>
      </c>
      <c r="K1356" s="81"/>
    </row>
    <row r="1357" spans="1:13" ht="15" customHeight="1" x14ac:dyDescent="0.25">
      <c r="A1357" s="16" t="s">
        <v>302</v>
      </c>
      <c r="B1357" s="20">
        <v>88316</v>
      </c>
      <c r="C1357" s="77" t="str">
        <f>VLOOKUP(B1357,IF(A1357="COMPOSICAO",S!$A:$D,I!$A:$D),2,FALSE)</f>
        <v>SERVENTE COM ENCARGOS COMPLEMENTARES</v>
      </c>
      <c r="D1357" s="77"/>
      <c r="E1357" s="77"/>
      <c r="F1357" s="77"/>
      <c r="G1357" s="16" t="str">
        <f>VLOOKUP(B1357,IF(A1357="COMPOSICAO",S!$A:$D,I!$A:$D),3,FALSE)</f>
        <v>H</v>
      </c>
      <c r="H1357" s="17">
        <v>0.76</v>
      </c>
      <c r="I1357" s="17">
        <f>IF(A1357="COMPOSICAO",VLOOKUP("TOTAL - "&amp;B1357,COMPOSICAO_AUX_2!$A:$J,10,FALSE),VLOOKUP(B1357,I!$A:$D,4,FALSE))</f>
        <v>15.35</v>
      </c>
      <c r="J1357" s="80">
        <f t="shared" si="60"/>
        <v>11.66</v>
      </c>
      <c r="K1357" s="81"/>
    </row>
    <row r="1358" spans="1:13" ht="30" customHeight="1" x14ac:dyDescent="0.25">
      <c r="A1358" s="16" t="s">
        <v>302</v>
      </c>
      <c r="B1358" s="20">
        <v>88377</v>
      </c>
      <c r="C1358" s="77" t="str">
        <f>VLOOKUP(B1358,IF(A1358="COMPOSICAO",S!$A:$D,I!$A:$D),2,FALSE)</f>
        <v>OPERADOR DE BETONEIRA ESTACIONÁRIA/MISTURADOR COM ENCARGOS COMPLEMENTARES</v>
      </c>
      <c r="D1358" s="77"/>
      <c r="E1358" s="77"/>
      <c r="F1358" s="77"/>
      <c r="G1358" s="16" t="str">
        <f>VLOOKUP(B1358,IF(A1358="COMPOSICAO",S!$A:$D,I!$A:$D),3,FALSE)</f>
        <v>H</v>
      </c>
      <c r="H1358" s="17">
        <v>3.17</v>
      </c>
      <c r="I1358" s="17">
        <f>IF(A1358="COMPOSICAO",VLOOKUP("TOTAL - "&amp;B1358,COMPOSICAO_AUX_2!$A:$J,10,FALSE),VLOOKUP(B1358,I!$A:$D,4,FALSE))</f>
        <v>19.810000000000002</v>
      </c>
      <c r="J1358" s="80">
        <f t="shared" si="60"/>
        <v>62.79</v>
      </c>
      <c r="K1358" s="81"/>
    </row>
    <row r="1359" spans="1:13" ht="60" customHeight="1" x14ac:dyDescent="0.25">
      <c r="A1359" s="16" t="s">
        <v>302</v>
      </c>
      <c r="B1359" s="20">
        <v>89225</v>
      </c>
      <c r="C1359" s="77" t="str">
        <f>VLOOKUP(B1359,IF(A1359="COMPOSICAO",S!$A:$D,I!$A:$D),2,FALSE)</f>
        <v>BETONEIRA CAPACIDADE NOMINAL DE 600 L, CAPACIDADE DE MISTURA 360 L, MOTOR ELÉTRICO TRIFÁSICO POTÊNCIA DE 4 CV, SEM CARREGADOR - CHP DIURNO. AF_11/2014</v>
      </c>
      <c r="D1359" s="77"/>
      <c r="E1359" s="77"/>
      <c r="F1359" s="77"/>
      <c r="G1359" s="16" t="str">
        <f>VLOOKUP(B1359,IF(A1359="COMPOSICAO",S!$A:$D,I!$A:$D),3,FALSE)</f>
        <v>CHP</v>
      </c>
      <c r="H1359" s="17">
        <v>0.74</v>
      </c>
      <c r="I1359" s="17">
        <f>IF(A1359="COMPOSICAO",VLOOKUP("TOTAL - "&amp;B1359,COMPOSICAO_AUX_2!$A:$J,10,FALSE),VLOOKUP(B1359,I!$A:$D,4,FALSE))</f>
        <v>4.9800000000000004</v>
      </c>
      <c r="J1359" s="80">
        <f t="shared" si="60"/>
        <v>3.68</v>
      </c>
      <c r="K1359" s="81"/>
    </row>
    <row r="1360" spans="1:13" ht="60" customHeight="1" x14ac:dyDescent="0.25">
      <c r="A1360" s="16" t="s">
        <v>302</v>
      </c>
      <c r="B1360" s="20">
        <v>89226</v>
      </c>
      <c r="C1360" s="77" t="str">
        <f>VLOOKUP(B1360,IF(A1360="COMPOSICAO",S!$A:$D,I!$A:$D),2,FALSE)</f>
        <v>BETONEIRA CAPACIDADE NOMINAL DE 600 L, CAPACIDADE DE MISTURA 360 L, MOTOR ELÉTRICO TRIFÁSICO POTÊNCIA DE 4 CV, SEM CARREGADOR - CHI DIURNO. AF_11/2014</v>
      </c>
      <c r="D1360" s="77"/>
      <c r="E1360" s="77"/>
      <c r="F1360" s="77"/>
      <c r="G1360" s="16" t="str">
        <f>VLOOKUP(B1360,IF(A1360="COMPOSICAO",S!$A:$D,I!$A:$D),3,FALSE)</f>
        <v>CHI</v>
      </c>
      <c r="H1360" s="17">
        <v>2.4300000000000002</v>
      </c>
      <c r="I1360" s="17">
        <f>IF(A1360="COMPOSICAO",VLOOKUP("TOTAL - "&amp;B1360,COMPOSICAO_AUX_2!$A:$J,10,FALSE),VLOOKUP(B1360,I!$A:$D,4,FALSE))</f>
        <v>1.67</v>
      </c>
      <c r="J1360" s="80">
        <f t="shared" si="60"/>
        <v>4.05</v>
      </c>
      <c r="K1360" s="81"/>
    </row>
    <row r="1361" spans="1:13" ht="15" customHeight="1" x14ac:dyDescent="0.25">
      <c r="A1361" s="23" t="s">
        <v>718</v>
      </c>
      <c r="B1361" s="24"/>
      <c r="C1361" s="24"/>
      <c r="D1361" s="24"/>
      <c r="E1361" s="24"/>
      <c r="F1361" s="24"/>
      <c r="G1361" s="25"/>
      <c r="H1361" s="26"/>
      <c r="I1361" s="27"/>
      <c r="J1361" s="80">
        <f>SUM(J1353:K1360)</f>
        <v>427.45000000000005</v>
      </c>
      <c r="K1361" s="81"/>
    </row>
    <row r="1362" spans="1:13" ht="15" customHeight="1" x14ac:dyDescent="0.25">
      <c r="A1362" s="3"/>
      <c r="B1362" s="3"/>
      <c r="C1362" s="3"/>
      <c r="D1362" s="3"/>
      <c r="E1362" s="3"/>
      <c r="F1362" s="3"/>
      <c r="G1362" s="3"/>
      <c r="H1362" s="3"/>
      <c r="I1362" s="3"/>
      <c r="J1362" s="3"/>
      <c r="K1362" s="3"/>
    </row>
    <row r="1363" spans="1:13" ht="15" customHeight="1" x14ac:dyDescent="0.25">
      <c r="A1363" s="10" t="s">
        <v>295</v>
      </c>
      <c r="B1363" s="10" t="s">
        <v>31</v>
      </c>
      <c r="C1363" s="82" t="s">
        <v>7</v>
      </c>
      <c r="D1363" s="83"/>
      <c r="E1363" s="83"/>
      <c r="F1363" s="83"/>
      <c r="G1363" s="6" t="s">
        <v>32</v>
      </c>
      <c r="H1363" s="6" t="s">
        <v>296</v>
      </c>
      <c r="I1363" s="6" t="s">
        <v>297</v>
      </c>
      <c r="J1363" s="57" t="s">
        <v>9</v>
      </c>
      <c r="K1363" s="58"/>
    </row>
    <row r="1364" spans="1:13" ht="30" customHeight="1" x14ac:dyDescent="0.25">
      <c r="A1364" s="6" t="s">
        <v>502</v>
      </c>
      <c r="B1364" s="28">
        <v>88247</v>
      </c>
      <c r="C1364" s="91" t="str">
        <f>VLOOKUP(B1364,S!$A:$D,2,FALSE)</f>
        <v>AUXILIAR DE ELETRICISTA COM ENCARGOS COMPLEMENTARES</v>
      </c>
      <c r="D1364" s="91"/>
      <c r="E1364" s="91"/>
      <c r="F1364" s="92"/>
      <c r="G1364" s="6" t="str">
        <f>VLOOKUP(B1364,S!$A:$D,3,FALSE)</f>
        <v>H</v>
      </c>
      <c r="H1364" s="21"/>
      <c r="I1364" s="21">
        <f>J1373</f>
        <v>15.469999999999999</v>
      </c>
      <c r="J1364" s="76"/>
      <c r="K1364" s="72"/>
      <c r="L1364" s="21">
        <f>VLOOKUP(B1364,S!$A:$D,4,FALSE)</f>
        <v>15.47</v>
      </c>
      <c r="M1364" s="6" t="str">
        <f>IF(ROUND((L1364-I1364),2)=0,"OK, confere com a tabela.",IF(ROUND((L1364-I1364),2)&lt;0,"ACIMA ("&amp;TEXT(ROUND(I1364*100/L1364,4),"0,0000")&amp;" %) da tabela.","ABAIXO ("&amp;TEXT(ROUND(I1364*100/L1364,4),"0,0000")&amp;" %) da tabela."))</f>
        <v>OK, confere com a tabela.</v>
      </c>
    </row>
    <row r="1365" spans="1:13" ht="15" customHeight="1" x14ac:dyDescent="0.25">
      <c r="A1365" s="16" t="s">
        <v>306</v>
      </c>
      <c r="B1365" s="20">
        <v>247</v>
      </c>
      <c r="C1365" s="77" t="str">
        <f>VLOOKUP(B1365,IF(A1365="COMPOSICAO",S!$A:$D,I!$A:$D),2,FALSE)</f>
        <v>AJUDANTE DE ELETRICISTA</v>
      </c>
      <c r="D1365" s="77"/>
      <c r="E1365" s="77"/>
      <c r="F1365" s="77"/>
      <c r="G1365" s="16" t="str">
        <f>VLOOKUP(B1365,IF(A1365="COMPOSICAO",S!$A:$D,I!$A:$D),3,FALSE)</f>
        <v>H</v>
      </c>
      <c r="H1365" s="17">
        <v>1</v>
      </c>
      <c r="I1365" s="17">
        <f>IF(A1365="COMPOSICAO",VLOOKUP("TOTAL - "&amp;B1365,COMPOSICAO_AUX_2!$A:$J,10,FALSE),VLOOKUP(B1365,I!$A:$D,4,FALSE))</f>
        <v>10.5</v>
      </c>
      <c r="J1365" s="80">
        <f t="shared" ref="J1365:J1372" si="61">TRUNC(H1365*I1365,2)</f>
        <v>10.5</v>
      </c>
      <c r="K1365" s="81"/>
    </row>
    <row r="1366" spans="1:13" ht="15" customHeight="1" x14ac:dyDescent="0.25">
      <c r="A1366" s="16" t="s">
        <v>306</v>
      </c>
      <c r="B1366" s="20">
        <v>37370</v>
      </c>
      <c r="C1366" s="77" t="str">
        <f>VLOOKUP(B1366,IF(A1366="COMPOSICAO",S!$A:$D,I!$A:$D),2,FALSE)</f>
        <v>ALIMENTACAO - HORISTA (COLETADO CAIXA)</v>
      </c>
      <c r="D1366" s="77"/>
      <c r="E1366" s="77"/>
      <c r="F1366" s="77"/>
      <c r="G1366" s="16" t="str">
        <f>VLOOKUP(B1366,IF(A1366="COMPOSICAO",S!$A:$D,I!$A:$D),3,FALSE)</f>
        <v>H</v>
      </c>
      <c r="H1366" s="17">
        <v>1</v>
      </c>
      <c r="I1366" s="17">
        <f>IF(A1366="COMPOSICAO",VLOOKUP("TOTAL - "&amp;B1366,COMPOSICAO_AUX_2!$A:$J,10,FALSE),VLOOKUP(B1366,I!$A:$D,4,FALSE))</f>
        <v>1.86</v>
      </c>
      <c r="J1366" s="80">
        <f t="shared" si="61"/>
        <v>1.86</v>
      </c>
      <c r="K1366" s="81"/>
    </row>
    <row r="1367" spans="1:13" ht="15" customHeight="1" x14ac:dyDescent="0.25">
      <c r="A1367" s="16" t="s">
        <v>306</v>
      </c>
      <c r="B1367" s="20">
        <v>37371</v>
      </c>
      <c r="C1367" s="77" t="str">
        <f>VLOOKUP(B1367,IF(A1367="COMPOSICAO",S!$A:$D,I!$A:$D),2,FALSE)</f>
        <v>TRANSPORTE - HORISTA (COLETADO CAIXA)</v>
      </c>
      <c r="D1367" s="77"/>
      <c r="E1367" s="77"/>
      <c r="F1367" s="77"/>
      <c r="G1367" s="16" t="str">
        <f>VLOOKUP(B1367,IF(A1367="COMPOSICAO",S!$A:$D,I!$A:$D),3,FALSE)</f>
        <v>H</v>
      </c>
      <c r="H1367" s="17">
        <v>1</v>
      </c>
      <c r="I1367" s="17">
        <f>IF(A1367="COMPOSICAO",VLOOKUP("TOTAL - "&amp;B1367,COMPOSICAO_AUX_2!$A:$J,10,FALSE),VLOOKUP(B1367,I!$A:$D,4,FALSE))</f>
        <v>0.7</v>
      </c>
      <c r="J1367" s="80">
        <f t="shared" si="61"/>
        <v>0.7</v>
      </c>
      <c r="K1367" s="81"/>
    </row>
    <row r="1368" spans="1:13" ht="15" customHeight="1" x14ac:dyDescent="0.25">
      <c r="A1368" s="16" t="s">
        <v>306</v>
      </c>
      <c r="B1368" s="20">
        <v>37372</v>
      </c>
      <c r="C1368" s="77" t="str">
        <f>VLOOKUP(B1368,IF(A1368="COMPOSICAO",S!$A:$D,I!$A:$D),2,FALSE)</f>
        <v>EXAMES - HORISTA (COLETADO CAIXA)</v>
      </c>
      <c r="D1368" s="77"/>
      <c r="E1368" s="77"/>
      <c r="F1368" s="77"/>
      <c r="G1368" s="16" t="str">
        <f>VLOOKUP(B1368,IF(A1368="COMPOSICAO",S!$A:$D,I!$A:$D),3,FALSE)</f>
        <v>H</v>
      </c>
      <c r="H1368" s="17">
        <v>1</v>
      </c>
      <c r="I1368" s="17">
        <f>IF(A1368="COMPOSICAO",VLOOKUP("TOTAL - "&amp;B1368,COMPOSICAO_AUX_2!$A:$J,10,FALSE),VLOOKUP(B1368,I!$A:$D,4,FALSE))</f>
        <v>0.55000000000000004</v>
      </c>
      <c r="J1368" s="80">
        <f t="shared" si="61"/>
        <v>0.55000000000000004</v>
      </c>
      <c r="K1368" s="81"/>
    </row>
    <row r="1369" spans="1:13" ht="15" customHeight="1" x14ac:dyDescent="0.25">
      <c r="A1369" s="16" t="s">
        <v>306</v>
      </c>
      <c r="B1369" s="20">
        <v>37373</v>
      </c>
      <c r="C1369" s="77" t="str">
        <f>VLOOKUP(B1369,IF(A1369="COMPOSICAO",S!$A:$D,I!$A:$D),2,FALSE)</f>
        <v>SEGURO - HORISTA (COLETADO CAIXA)</v>
      </c>
      <c r="D1369" s="77"/>
      <c r="E1369" s="77"/>
      <c r="F1369" s="77"/>
      <c r="G1369" s="16" t="str">
        <f>VLOOKUP(B1369,IF(A1369="COMPOSICAO",S!$A:$D,I!$A:$D),3,FALSE)</f>
        <v>H</v>
      </c>
      <c r="H1369" s="17">
        <v>1</v>
      </c>
      <c r="I1369" s="17">
        <f>IF(A1369="COMPOSICAO",VLOOKUP("TOTAL - "&amp;B1369,COMPOSICAO_AUX_2!$A:$J,10,FALSE),VLOOKUP(B1369,I!$A:$D,4,FALSE))</f>
        <v>0.06</v>
      </c>
      <c r="J1369" s="80">
        <f t="shared" si="61"/>
        <v>0.06</v>
      </c>
      <c r="K1369" s="81"/>
    </row>
    <row r="1370" spans="1:13" ht="30" customHeight="1" x14ac:dyDescent="0.25">
      <c r="A1370" s="16" t="s">
        <v>306</v>
      </c>
      <c r="B1370" s="20">
        <v>43460</v>
      </c>
      <c r="C1370" s="77" t="str">
        <f>VLOOKUP(B1370,IF(A1370="COMPOSICAO",S!$A:$D,I!$A:$D),2,FALSE)</f>
        <v>FERRAMENTAS - FAMILIA ELETRICISTA - HORISTA (ENCARGOS COMPLEMENTARES - COLETADO CAIXA)</v>
      </c>
      <c r="D1370" s="77"/>
      <c r="E1370" s="77"/>
      <c r="F1370" s="77"/>
      <c r="G1370" s="16" t="str">
        <f>VLOOKUP(B1370,IF(A1370="COMPOSICAO",S!$A:$D,I!$A:$D),3,FALSE)</f>
        <v>H</v>
      </c>
      <c r="H1370" s="17">
        <v>1</v>
      </c>
      <c r="I1370" s="17">
        <f>IF(A1370="COMPOSICAO",VLOOKUP("TOTAL - "&amp;B1370,COMPOSICAO_AUX_2!$A:$J,10,FALSE),VLOOKUP(B1370,I!$A:$D,4,FALSE))</f>
        <v>0.62</v>
      </c>
      <c r="J1370" s="80">
        <f t="shared" si="61"/>
        <v>0.62</v>
      </c>
      <c r="K1370" s="81"/>
    </row>
    <row r="1371" spans="1:13" ht="30" customHeight="1" x14ac:dyDescent="0.25">
      <c r="A1371" s="16" t="s">
        <v>306</v>
      </c>
      <c r="B1371" s="20">
        <v>43484</v>
      </c>
      <c r="C1371" s="77" t="str">
        <f>VLOOKUP(B1371,IF(A1371="COMPOSICAO",S!$A:$D,I!$A:$D),2,FALSE)</f>
        <v>EPI - FAMILIA ELETRICISTA - HORISTA (ENCARGOS COMPLEMENTARES - COLETADO CAIXA)</v>
      </c>
      <c r="D1371" s="77"/>
      <c r="E1371" s="77"/>
      <c r="F1371" s="77"/>
      <c r="G1371" s="16" t="str">
        <f>VLOOKUP(B1371,IF(A1371="COMPOSICAO",S!$A:$D,I!$A:$D),3,FALSE)</f>
        <v>H</v>
      </c>
      <c r="H1371" s="17">
        <v>1</v>
      </c>
      <c r="I1371" s="17">
        <f>IF(A1371="COMPOSICAO",VLOOKUP("TOTAL - "&amp;B1371,COMPOSICAO_AUX_2!$A:$J,10,FALSE),VLOOKUP(B1371,I!$A:$D,4,FALSE))</f>
        <v>0.91</v>
      </c>
      <c r="J1371" s="80">
        <f t="shared" si="61"/>
        <v>0.91</v>
      </c>
      <c r="K1371" s="81"/>
    </row>
    <row r="1372" spans="1:13" ht="30" customHeight="1" x14ac:dyDescent="0.25">
      <c r="A1372" s="16" t="s">
        <v>302</v>
      </c>
      <c r="B1372" s="20">
        <v>95316</v>
      </c>
      <c r="C1372" s="77" t="str">
        <f>VLOOKUP(B1372,IF(A1372="COMPOSICAO",S!$A:$D,I!$A:$D),2,FALSE)</f>
        <v>CURSO DE CAPACITAÇÃO PARA AUXILIAR DE ELETRICISTA (ENCARGOS COMPLEMENTARES) - HORISTA</v>
      </c>
      <c r="D1372" s="77"/>
      <c r="E1372" s="77"/>
      <c r="F1372" s="77"/>
      <c r="G1372" s="16" t="str">
        <f>VLOOKUP(B1372,IF(A1372="COMPOSICAO",S!$A:$D,I!$A:$D),3,FALSE)</f>
        <v>H</v>
      </c>
      <c r="H1372" s="17">
        <v>1</v>
      </c>
      <c r="I1372" s="17">
        <f>IF(A1372="COMPOSICAO",VLOOKUP("TOTAL - "&amp;B1372,COMPOSICAO_AUX_2!$A:$J,10,FALSE),VLOOKUP(B1372,I!$A:$D,4,FALSE))</f>
        <v>0.27</v>
      </c>
      <c r="J1372" s="80">
        <f t="shared" si="61"/>
        <v>0.27</v>
      </c>
      <c r="K1372" s="81"/>
    </row>
    <row r="1373" spans="1:13" ht="15" customHeight="1" x14ac:dyDescent="0.25">
      <c r="A1373" s="23" t="s">
        <v>719</v>
      </c>
      <c r="B1373" s="24"/>
      <c r="C1373" s="24"/>
      <c r="D1373" s="24"/>
      <c r="E1373" s="24"/>
      <c r="F1373" s="24"/>
      <c r="G1373" s="25"/>
      <c r="H1373" s="26"/>
      <c r="I1373" s="27"/>
      <c r="J1373" s="80">
        <f>SUM(J1364:K1372)</f>
        <v>15.469999999999999</v>
      </c>
      <c r="K1373" s="81"/>
    </row>
    <row r="1374" spans="1:13" ht="15" customHeight="1" x14ac:dyDescent="0.25">
      <c r="A1374" s="3"/>
      <c r="B1374" s="3"/>
      <c r="C1374" s="3"/>
      <c r="D1374" s="3"/>
      <c r="E1374" s="3"/>
      <c r="F1374" s="3"/>
      <c r="G1374" s="3"/>
      <c r="H1374" s="3"/>
      <c r="I1374" s="3"/>
      <c r="J1374" s="3"/>
      <c r="K1374" s="3"/>
    </row>
    <row r="1375" spans="1:13" ht="15" customHeight="1" x14ac:dyDescent="0.25">
      <c r="A1375" s="10" t="s">
        <v>295</v>
      </c>
      <c r="B1375" s="10" t="s">
        <v>31</v>
      </c>
      <c r="C1375" s="82" t="s">
        <v>7</v>
      </c>
      <c r="D1375" s="83"/>
      <c r="E1375" s="83"/>
      <c r="F1375" s="83"/>
      <c r="G1375" s="6" t="s">
        <v>32</v>
      </c>
      <c r="H1375" s="6" t="s">
        <v>296</v>
      </c>
      <c r="I1375" s="6" t="s">
        <v>297</v>
      </c>
      <c r="J1375" s="57" t="s">
        <v>9</v>
      </c>
      <c r="K1375" s="58"/>
    </row>
    <row r="1376" spans="1:13" ht="15" customHeight="1" x14ac:dyDescent="0.25">
      <c r="A1376" s="6" t="s">
        <v>502</v>
      </c>
      <c r="B1376" s="28">
        <v>88264</v>
      </c>
      <c r="C1376" s="91" t="str">
        <f>VLOOKUP(B1376,S!$A:$D,2,FALSE)</f>
        <v>ELETRICISTA COM ENCARGOS COMPLEMENTARES</v>
      </c>
      <c r="D1376" s="91"/>
      <c r="E1376" s="91"/>
      <c r="F1376" s="92"/>
      <c r="G1376" s="6" t="str">
        <f>VLOOKUP(B1376,S!$A:$D,3,FALSE)</f>
        <v>H</v>
      </c>
      <c r="H1376" s="21"/>
      <c r="I1376" s="21">
        <f>J1385</f>
        <v>20.02</v>
      </c>
      <c r="J1376" s="76"/>
      <c r="K1376" s="72"/>
      <c r="L1376" s="21">
        <f>VLOOKUP(B1376,S!$A:$D,4,FALSE)</f>
        <v>20.02</v>
      </c>
      <c r="M1376" s="6" t="str">
        <f>IF(ROUND((L1376-I1376),2)=0,"OK, confere com a tabela.",IF(ROUND((L1376-I1376),2)&lt;0,"ACIMA ("&amp;TEXT(ROUND(I1376*100/L1376,4),"0,0000")&amp;" %) da tabela.","ABAIXO ("&amp;TEXT(ROUND(I1376*100/L1376,4),"0,0000")&amp;" %) da tabela."))</f>
        <v>OK, confere com a tabela.</v>
      </c>
    </row>
    <row r="1377" spans="1:13" ht="15" customHeight="1" x14ac:dyDescent="0.25">
      <c r="A1377" s="16" t="s">
        <v>306</v>
      </c>
      <c r="B1377" s="20">
        <v>2436</v>
      </c>
      <c r="C1377" s="77" t="str">
        <f>VLOOKUP(B1377,IF(A1377="COMPOSICAO",S!$A:$D,I!$A:$D),2,FALSE)</f>
        <v>ELETRICISTA</v>
      </c>
      <c r="D1377" s="77"/>
      <c r="E1377" s="77"/>
      <c r="F1377" s="77"/>
      <c r="G1377" s="16" t="str">
        <f>VLOOKUP(B1377,IF(A1377="COMPOSICAO",S!$A:$D,I!$A:$D),3,FALSE)</f>
        <v>H</v>
      </c>
      <c r="H1377" s="17">
        <v>1</v>
      </c>
      <c r="I1377" s="17">
        <f>IF(A1377="COMPOSICAO",VLOOKUP("TOTAL - "&amp;B1377,COMPOSICAO_AUX_2!$A:$J,10,FALSE),VLOOKUP(B1377,I!$A:$D,4,FALSE))</f>
        <v>14.93</v>
      </c>
      <c r="J1377" s="80">
        <f t="shared" ref="J1377:J1384" si="62">TRUNC(H1377*I1377,2)</f>
        <v>14.93</v>
      </c>
      <c r="K1377" s="81"/>
    </row>
    <row r="1378" spans="1:13" ht="15" customHeight="1" x14ac:dyDescent="0.25">
      <c r="A1378" s="16" t="s">
        <v>306</v>
      </c>
      <c r="B1378" s="20">
        <v>37370</v>
      </c>
      <c r="C1378" s="77" t="str">
        <f>VLOOKUP(B1378,IF(A1378="COMPOSICAO",S!$A:$D,I!$A:$D),2,FALSE)</f>
        <v>ALIMENTACAO - HORISTA (COLETADO CAIXA)</v>
      </c>
      <c r="D1378" s="77"/>
      <c r="E1378" s="77"/>
      <c r="F1378" s="77"/>
      <c r="G1378" s="16" t="str">
        <f>VLOOKUP(B1378,IF(A1378="COMPOSICAO",S!$A:$D,I!$A:$D),3,FALSE)</f>
        <v>H</v>
      </c>
      <c r="H1378" s="17">
        <v>1</v>
      </c>
      <c r="I1378" s="17">
        <f>IF(A1378="COMPOSICAO",VLOOKUP("TOTAL - "&amp;B1378,COMPOSICAO_AUX_2!$A:$J,10,FALSE),VLOOKUP(B1378,I!$A:$D,4,FALSE))</f>
        <v>1.86</v>
      </c>
      <c r="J1378" s="80">
        <f t="shared" si="62"/>
        <v>1.86</v>
      </c>
      <c r="K1378" s="81"/>
    </row>
    <row r="1379" spans="1:13" ht="15" customHeight="1" x14ac:dyDescent="0.25">
      <c r="A1379" s="16" t="s">
        <v>306</v>
      </c>
      <c r="B1379" s="20">
        <v>37371</v>
      </c>
      <c r="C1379" s="77" t="str">
        <f>VLOOKUP(B1379,IF(A1379="COMPOSICAO",S!$A:$D,I!$A:$D),2,FALSE)</f>
        <v>TRANSPORTE - HORISTA (COLETADO CAIXA)</v>
      </c>
      <c r="D1379" s="77"/>
      <c r="E1379" s="77"/>
      <c r="F1379" s="77"/>
      <c r="G1379" s="16" t="str">
        <f>VLOOKUP(B1379,IF(A1379="COMPOSICAO",S!$A:$D,I!$A:$D),3,FALSE)</f>
        <v>H</v>
      </c>
      <c r="H1379" s="17">
        <v>1</v>
      </c>
      <c r="I1379" s="17">
        <f>IF(A1379="COMPOSICAO",VLOOKUP("TOTAL - "&amp;B1379,COMPOSICAO_AUX_2!$A:$J,10,FALSE),VLOOKUP(B1379,I!$A:$D,4,FALSE))</f>
        <v>0.7</v>
      </c>
      <c r="J1379" s="80">
        <f t="shared" si="62"/>
        <v>0.7</v>
      </c>
      <c r="K1379" s="81"/>
    </row>
    <row r="1380" spans="1:13" ht="15" customHeight="1" x14ac:dyDescent="0.25">
      <c r="A1380" s="16" t="s">
        <v>306</v>
      </c>
      <c r="B1380" s="20">
        <v>37372</v>
      </c>
      <c r="C1380" s="77" t="str">
        <f>VLOOKUP(B1380,IF(A1380="COMPOSICAO",S!$A:$D,I!$A:$D),2,FALSE)</f>
        <v>EXAMES - HORISTA (COLETADO CAIXA)</v>
      </c>
      <c r="D1380" s="77"/>
      <c r="E1380" s="77"/>
      <c r="F1380" s="77"/>
      <c r="G1380" s="16" t="str">
        <f>VLOOKUP(B1380,IF(A1380="COMPOSICAO",S!$A:$D,I!$A:$D),3,FALSE)</f>
        <v>H</v>
      </c>
      <c r="H1380" s="17">
        <v>1</v>
      </c>
      <c r="I1380" s="17">
        <f>IF(A1380="COMPOSICAO",VLOOKUP("TOTAL - "&amp;B1380,COMPOSICAO_AUX_2!$A:$J,10,FALSE),VLOOKUP(B1380,I!$A:$D,4,FALSE))</f>
        <v>0.55000000000000004</v>
      </c>
      <c r="J1380" s="80">
        <f t="shared" si="62"/>
        <v>0.55000000000000004</v>
      </c>
      <c r="K1380" s="81"/>
    </row>
    <row r="1381" spans="1:13" ht="15" customHeight="1" x14ac:dyDescent="0.25">
      <c r="A1381" s="16" t="s">
        <v>306</v>
      </c>
      <c r="B1381" s="20">
        <v>37373</v>
      </c>
      <c r="C1381" s="77" t="str">
        <f>VLOOKUP(B1381,IF(A1381="COMPOSICAO",S!$A:$D,I!$A:$D),2,FALSE)</f>
        <v>SEGURO - HORISTA (COLETADO CAIXA)</v>
      </c>
      <c r="D1381" s="77"/>
      <c r="E1381" s="77"/>
      <c r="F1381" s="77"/>
      <c r="G1381" s="16" t="str">
        <f>VLOOKUP(B1381,IF(A1381="COMPOSICAO",S!$A:$D,I!$A:$D),3,FALSE)</f>
        <v>H</v>
      </c>
      <c r="H1381" s="17">
        <v>1</v>
      </c>
      <c r="I1381" s="17">
        <f>IF(A1381="COMPOSICAO",VLOOKUP("TOTAL - "&amp;B1381,COMPOSICAO_AUX_2!$A:$J,10,FALSE),VLOOKUP(B1381,I!$A:$D,4,FALSE))</f>
        <v>0.06</v>
      </c>
      <c r="J1381" s="80">
        <f t="shared" si="62"/>
        <v>0.06</v>
      </c>
      <c r="K1381" s="81"/>
    </row>
    <row r="1382" spans="1:13" ht="30" customHeight="1" x14ac:dyDescent="0.25">
      <c r="A1382" s="16" t="s">
        <v>306</v>
      </c>
      <c r="B1382" s="20">
        <v>43460</v>
      </c>
      <c r="C1382" s="77" t="str">
        <f>VLOOKUP(B1382,IF(A1382="COMPOSICAO",S!$A:$D,I!$A:$D),2,FALSE)</f>
        <v>FERRAMENTAS - FAMILIA ELETRICISTA - HORISTA (ENCARGOS COMPLEMENTARES - COLETADO CAIXA)</v>
      </c>
      <c r="D1382" s="77"/>
      <c r="E1382" s="77"/>
      <c r="F1382" s="77"/>
      <c r="G1382" s="16" t="str">
        <f>VLOOKUP(B1382,IF(A1382="COMPOSICAO",S!$A:$D,I!$A:$D),3,FALSE)</f>
        <v>H</v>
      </c>
      <c r="H1382" s="17">
        <v>1</v>
      </c>
      <c r="I1382" s="17">
        <f>IF(A1382="COMPOSICAO",VLOOKUP("TOTAL - "&amp;B1382,COMPOSICAO_AUX_2!$A:$J,10,FALSE),VLOOKUP(B1382,I!$A:$D,4,FALSE))</f>
        <v>0.62</v>
      </c>
      <c r="J1382" s="80">
        <f t="shared" si="62"/>
        <v>0.62</v>
      </c>
      <c r="K1382" s="81"/>
    </row>
    <row r="1383" spans="1:13" ht="30" customHeight="1" x14ac:dyDescent="0.25">
      <c r="A1383" s="16" t="s">
        <v>306</v>
      </c>
      <c r="B1383" s="20">
        <v>43484</v>
      </c>
      <c r="C1383" s="77" t="str">
        <f>VLOOKUP(B1383,IF(A1383="COMPOSICAO",S!$A:$D,I!$A:$D),2,FALSE)</f>
        <v>EPI - FAMILIA ELETRICISTA - HORISTA (ENCARGOS COMPLEMENTARES - COLETADO CAIXA)</v>
      </c>
      <c r="D1383" s="77"/>
      <c r="E1383" s="77"/>
      <c r="F1383" s="77"/>
      <c r="G1383" s="16" t="str">
        <f>VLOOKUP(B1383,IF(A1383="COMPOSICAO",S!$A:$D,I!$A:$D),3,FALSE)</f>
        <v>H</v>
      </c>
      <c r="H1383" s="17">
        <v>1</v>
      </c>
      <c r="I1383" s="17">
        <f>IF(A1383="COMPOSICAO",VLOOKUP("TOTAL - "&amp;B1383,COMPOSICAO_AUX_2!$A:$J,10,FALSE),VLOOKUP(B1383,I!$A:$D,4,FALSE))</f>
        <v>0.91</v>
      </c>
      <c r="J1383" s="80">
        <f t="shared" si="62"/>
        <v>0.91</v>
      </c>
      <c r="K1383" s="81"/>
    </row>
    <row r="1384" spans="1:13" ht="30" customHeight="1" x14ac:dyDescent="0.25">
      <c r="A1384" s="16" t="s">
        <v>302</v>
      </c>
      <c r="B1384" s="20">
        <v>95332</v>
      </c>
      <c r="C1384" s="77" t="str">
        <f>VLOOKUP(B1384,IF(A1384="COMPOSICAO",S!$A:$D,I!$A:$D),2,FALSE)</f>
        <v>CURSO DE CAPACITAÇÃO PARA ELETRICISTA (ENCARGOS COMPLEMENTARES) - HORISTA</v>
      </c>
      <c r="D1384" s="77"/>
      <c r="E1384" s="77"/>
      <c r="F1384" s="77"/>
      <c r="G1384" s="16" t="str">
        <f>VLOOKUP(B1384,IF(A1384="COMPOSICAO",S!$A:$D,I!$A:$D),3,FALSE)</f>
        <v>H</v>
      </c>
      <c r="H1384" s="17">
        <v>1</v>
      </c>
      <c r="I1384" s="17">
        <f>IF(A1384="COMPOSICAO",VLOOKUP("TOTAL - "&amp;B1384,COMPOSICAO_AUX_2!$A:$J,10,FALSE),VLOOKUP(B1384,I!$A:$D,4,FALSE))</f>
        <v>0.39</v>
      </c>
      <c r="J1384" s="80">
        <f t="shared" si="62"/>
        <v>0.39</v>
      </c>
      <c r="K1384" s="81"/>
    </row>
    <row r="1385" spans="1:13" ht="15" customHeight="1" x14ac:dyDescent="0.25">
      <c r="A1385" s="23" t="s">
        <v>720</v>
      </c>
      <c r="B1385" s="24"/>
      <c r="C1385" s="24"/>
      <c r="D1385" s="24"/>
      <c r="E1385" s="24"/>
      <c r="F1385" s="24"/>
      <c r="G1385" s="25"/>
      <c r="H1385" s="26"/>
      <c r="I1385" s="27"/>
      <c r="J1385" s="80">
        <f>SUM(J1376:K1384)</f>
        <v>20.02</v>
      </c>
      <c r="K1385" s="81"/>
    </row>
    <row r="1386" spans="1:13" ht="15" customHeight="1" x14ac:dyDescent="0.25">
      <c r="A1386" s="3"/>
      <c r="B1386" s="3"/>
      <c r="C1386" s="3"/>
      <c r="D1386" s="3"/>
      <c r="E1386" s="3"/>
      <c r="F1386" s="3"/>
      <c r="G1386" s="3"/>
      <c r="H1386" s="3"/>
      <c r="I1386" s="3"/>
      <c r="J1386" s="3"/>
      <c r="K1386" s="3"/>
    </row>
    <row r="1387" spans="1:13" ht="15" customHeight="1" x14ac:dyDescent="0.25">
      <c r="A1387" s="10" t="s">
        <v>295</v>
      </c>
      <c r="B1387" s="10" t="s">
        <v>31</v>
      </c>
      <c r="C1387" s="82" t="s">
        <v>7</v>
      </c>
      <c r="D1387" s="83"/>
      <c r="E1387" s="83"/>
      <c r="F1387" s="83"/>
      <c r="G1387" s="6" t="s">
        <v>32</v>
      </c>
      <c r="H1387" s="6" t="s">
        <v>296</v>
      </c>
      <c r="I1387" s="6" t="s">
        <v>297</v>
      </c>
      <c r="J1387" s="57" t="s">
        <v>9</v>
      </c>
      <c r="K1387" s="58"/>
    </row>
    <row r="1388" spans="1:13" ht="75" customHeight="1" x14ac:dyDescent="0.25">
      <c r="A1388" s="6" t="s">
        <v>413</v>
      </c>
      <c r="B1388" s="28">
        <v>91170</v>
      </c>
      <c r="C1388" s="91" t="str">
        <f>VLOOKUP(B1388,S!$A:$D,2,FALSE)</f>
        <v>FIXAÇÃO DE TUBOS HORIZONTAIS DE PVC, CPVC OU COBRE DIÂMETROS MENORES OU IGUAIS A 40 MM OU ELETROCALHAS ATÉ 150MM DE LARGURA, COM ABRAÇADEIRA METÁLICA RÍGIDA TIPO D 1/2, FIXADA EM PERFILADO EM LAJE. AF_05/2015</v>
      </c>
      <c r="D1388" s="91"/>
      <c r="E1388" s="91"/>
      <c r="F1388" s="92"/>
      <c r="G1388" s="6" t="str">
        <f>VLOOKUP(B1388,S!$A:$D,3,FALSE)</f>
        <v>M</v>
      </c>
      <c r="H1388" s="21"/>
      <c r="I1388" s="21">
        <f>J1392</f>
        <v>2.4500000000000002</v>
      </c>
      <c r="J1388" s="76"/>
      <c r="K1388" s="72"/>
      <c r="L1388" s="21">
        <f>VLOOKUP(B1388,S!$A:$D,4,FALSE)</f>
        <v>2.4500000000000002</v>
      </c>
      <c r="M1388" s="6" t="str">
        <f>IF(ROUND((L1388-I1388),2)=0,"OK, confere com a tabela.",IF(ROUND((L1388-I1388),2)&lt;0,"ACIMA ("&amp;TEXT(ROUND(I1388*100/L1388,4),"0,0000")&amp;" %) da tabela.","ABAIXO ("&amp;TEXT(ROUND(I1388*100/L1388,4),"0,0000")&amp;" %) da tabela."))</f>
        <v>OK, confere com a tabela.</v>
      </c>
    </row>
    <row r="1389" spans="1:13" ht="30" customHeight="1" x14ac:dyDescent="0.25">
      <c r="A1389" s="16" t="s">
        <v>306</v>
      </c>
      <c r="B1389" s="20">
        <v>392</v>
      </c>
      <c r="C1389" s="77" t="str">
        <f>VLOOKUP(B1389,IF(A1389="COMPOSICAO",S!$A:$D,I!$A:$D),2,FALSE)</f>
        <v>ABRACADEIRA EM ACO PARA AMARRACAO DE ELETRODUTOS, TIPO D, COM 1/2" E PARAFUSO DE FIXACAO</v>
      </c>
      <c r="D1389" s="77"/>
      <c r="E1389" s="77"/>
      <c r="F1389" s="77"/>
      <c r="G1389" s="16" t="str">
        <f>VLOOKUP(B1389,IF(A1389="COMPOSICAO",S!$A:$D,I!$A:$D),3,FALSE)</f>
        <v>UN</v>
      </c>
      <c r="H1389" s="17">
        <v>0.65</v>
      </c>
      <c r="I1389" s="17">
        <f>IF(A1389="COMPOSICAO",VLOOKUP("TOTAL - "&amp;B1389,COMPOSICAO_AUX_2!$A:$J,10,FALSE),VLOOKUP(B1389,I!$A:$D,4,FALSE))</f>
        <v>1.51</v>
      </c>
      <c r="J1389" s="80">
        <f>TRUNC(H1389*I1389,2)</f>
        <v>0.98</v>
      </c>
      <c r="K1389" s="81"/>
    </row>
    <row r="1390" spans="1:13" ht="30" customHeight="1" x14ac:dyDescent="0.25">
      <c r="A1390" s="16" t="s">
        <v>302</v>
      </c>
      <c r="B1390" s="20">
        <v>88248</v>
      </c>
      <c r="C1390" s="77" t="str">
        <f>VLOOKUP(B1390,IF(A1390="COMPOSICAO",S!$A:$D,I!$A:$D),2,FALSE)</f>
        <v>AUXILIAR DE ENCANADOR OU BOMBEIRO HIDRÁULICO COM ENCARGOS COMPLEMENTARES</v>
      </c>
      <c r="D1390" s="77"/>
      <c r="E1390" s="77"/>
      <c r="F1390" s="77"/>
      <c r="G1390" s="16" t="str">
        <f>VLOOKUP(B1390,IF(A1390="COMPOSICAO",S!$A:$D,I!$A:$D),3,FALSE)</f>
        <v>H</v>
      </c>
      <c r="H1390" s="17">
        <v>0.01</v>
      </c>
      <c r="I1390" s="17">
        <f>IF(A1390="COMPOSICAO",VLOOKUP("TOTAL - "&amp;B1390,COMPOSICAO_AUX_2!$A:$J,10,FALSE),VLOOKUP(B1390,I!$A:$D,4,FALSE))</f>
        <v>14.96</v>
      </c>
      <c r="J1390" s="80">
        <f>TRUNC(H1390*I1390,2)</f>
        <v>0.14000000000000001</v>
      </c>
      <c r="K1390" s="81"/>
    </row>
    <row r="1391" spans="1:13" ht="30" customHeight="1" x14ac:dyDescent="0.25">
      <c r="A1391" s="16" t="s">
        <v>302</v>
      </c>
      <c r="B1391" s="20">
        <v>88267</v>
      </c>
      <c r="C1391" s="77" t="str">
        <f>VLOOKUP(B1391,IF(A1391="COMPOSICAO",S!$A:$D,I!$A:$D),2,FALSE)</f>
        <v>ENCANADOR OU BOMBEIRO HIDRÁULICO COM ENCARGOS COMPLEMENTARES</v>
      </c>
      <c r="D1391" s="77"/>
      <c r="E1391" s="77"/>
      <c r="F1391" s="77"/>
      <c r="G1391" s="16" t="str">
        <f>VLOOKUP(B1391,IF(A1391="COMPOSICAO",S!$A:$D,I!$A:$D),3,FALSE)</f>
        <v>H</v>
      </c>
      <c r="H1391" s="30">
        <v>6.9000000000000006E-2</v>
      </c>
      <c r="I1391" s="17">
        <f>IF(A1391="COMPOSICAO",VLOOKUP("TOTAL - "&amp;B1391,COMPOSICAO_AUX_2!$A:$J,10,FALSE),VLOOKUP(B1391,I!$A:$D,4,FALSE))</f>
        <v>19.37</v>
      </c>
      <c r="J1391" s="80">
        <f>TRUNC(H1391*I1391,2)</f>
        <v>1.33</v>
      </c>
      <c r="K1391" s="81"/>
    </row>
    <row r="1392" spans="1:13" ht="15" customHeight="1" x14ac:dyDescent="0.25">
      <c r="A1392" s="23" t="s">
        <v>721</v>
      </c>
      <c r="B1392" s="24"/>
      <c r="C1392" s="24"/>
      <c r="D1392" s="24"/>
      <c r="E1392" s="24"/>
      <c r="F1392" s="24"/>
      <c r="G1392" s="25"/>
      <c r="H1392" s="26"/>
      <c r="I1392" s="27"/>
      <c r="J1392" s="80">
        <f>SUM(J1388:K1391)</f>
        <v>2.4500000000000002</v>
      </c>
      <c r="K1392" s="81"/>
    </row>
    <row r="1393" spans="1:13" ht="15" customHeight="1" x14ac:dyDescent="0.25">
      <c r="A1393" s="3"/>
      <c r="B1393" s="3"/>
      <c r="C1393" s="3"/>
      <c r="D1393" s="3"/>
      <c r="E1393" s="3"/>
      <c r="F1393" s="3"/>
      <c r="G1393" s="3"/>
      <c r="H1393" s="3"/>
      <c r="I1393" s="3"/>
      <c r="J1393" s="3"/>
      <c r="K1393" s="3"/>
    </row>
    <row r="1394" spans="1:13" ht="15" customHeight="1" x14ac:dyDescent="0.25">
      <c r="A1394" s="10" t="s">
        <v>295</v>
      </c>
      <c r="B1394" s="10" t="s">
        <v>31</v>
      </c>
      <c r="C1394" s="82" t="s">
        <v>7</v>
      </c>
      <c r="D1394" s="83"/>
      <c r="E1394" s="83"/>
      <c r="F1394" s="83"/>
      <c r="G1394" s="6" t="s">
        <v>32</v>
      </c>
      <c r="H1394" s="6" t="s">
        <v>296</v>
      </c>
      <c r="I1394" s="6" t="s">
        <v>297</v>
      </c>
      <c r="J1394" s="57" t="s">
        <v>9</v>
      </c>
      <c r="K1394" s="58"/>
    </row>
    <row r="1395" spans="1:13" ht="30" customHeight="1" x14ac:dyDescent="0.25">
      <c r="A1395" s="6" t="s">
        <v>11</v>
      </c>
      <c r="B1395" s="6" t="s">
        <v>484</v>
      </c>
      <c r="C1395" s="91" t="str">
        <f>VLOOKUP(B1395,S!$A:$D,2,FALSE)</f>
        <v>SUPORTE ( RECEPTÁCULO) P/ LÂMPADA FLUORESCENTE</v>
      </c>
      <c r="D1395" s="91"/>
      <c r="E1395" s="91"/>
      <c r="F1395" s="92"/>
      <c r="G1395" s="6" t="str">
        <f>VLOOKUP(B1395,S!$A:$D,3,FALSE)</f>
        <v>UN</v>
      </c>
      <c r="H1395" s="21"/>
      <c r="I1395" s="21">
        <f>J1399</f>
        <v>4.53</v>
      </c>
      <c r="J1395" s="76"/>
      <c r="K1395" s="72"/>
      <c r="L1395" s="21">
        <f>VLOOKUP(B1395,S!$A:$D,4,FALSE)</f>
        <v>4.3499999999999996</v>
      </c>
      <c r="M1395" s="6" t="str">
        <f>IF(ROUND((L1395-I1395),2)=0,"OK, confere com a tabela.",IF(ROUND((L1395-I1395),2)&lt;0,"ACIMA ("&amp;TEXT(ROUND(I1395*100/L1395,4),"0,0000")&amp;" %) da tabela.","ABAIXO ("&amp;TEXT(ROUND(I1395*100/L1395,4),"0,0000")&amp;" %) da tabela."))</f>
        <v>ACIMA (104,1379 %) da tabela.</v>
      </c>
    </row>
    <row r="1396" spans="1:13" ht="30" customHeight="1" x14ac:dyDescent="0.25">
      <c r="A1396" s="16" t="s">
        <v>306</v>
      </c>
      <c r="B1396" s="16" t="s">
        <v>722</v>
      </c>
      <c r="C1396" s="77" t="str">
        <f>VLOOKUP(B1396,IF(A1396="COMPOSICAO",S!$A:$D,I!$A:$D),2,FALSE)</f>
        <v>SUPORTE ( RECEPTÁCULO) P/ LÂMPADA FLUORESCENTE</v>
      </c>
      <c r="D1396" s="77"/>
      <c r="E1396" s="77"/>
      <c r="F1396" s="77"/>
      <c r="G1396" s="16" t="str">
        <f>VLOOKUP(B1396,IF(A1396="COMPOSICAO",S!$A:$D,I!$A:$D),3,FALSE)</f>
        <v>UN</v>
      </c>
      <c r="H1396" s="17">
        <v>1</v>
      </c>
      <c r="I1396" s="17">
        <f>IF(A1396="COMPOSICAO",VLOOKUP("TOTAL - "&amp;B1396,COMPOSICAO_AUX_2!$A:$J,10,FALSE),VLOOKUP(B1396,I!$A:$D,4,FALSE))</f>
        <v>1</v>
      </c>
      <c r="J1396" s="80">
        <f>TRUNC(H1396*I1396,2)</f>
        <v>1</v>
      </c>
      <c r="K1396" s="81"/>
    </row>
    <row r="1397" spans="1:13" ht="15" customHeight="1" x14ac:dyDescent="0.25">
      <c r="A1397" s="16" t="s">
        <v>306</v>
      </c>
      <c r="B1397" s="20">
        <v>2436</v>
      </c>
      <c r="C1397" s="77" t="str">
        <f>VLOOKUP(B1397,IF(A1397="COMPOSICAO",S!$A:$D,I!$A:$D),2,FALSE)</f>
        <v>ELETRICISTA</v>
      </c>
      <c r="D1397" s="77"/>
      <c r="E1397" s="77"/>
      <c r="F1397" s="77"/>
      <c r="G1397" s="16" t="str">
        <f>VLOOKUP(B1397,IF(A1397="COMPOSICAO",S!$A:$D,I!$A:$D),3,FALSE)</f>
        <v>H</v>
      </c>
      <c r="H1397" s="17">
        <v>0.2</v>
      </c>
      <c r="I1397" s="17">
        <f>IF(A1397="COMPOSICAO",VLOOKUP("TOTAL - "&amp;B1397,COMPOSICAO_AUX_2!$A:$J,10,FALSE),VLOOKUP(B1397,I!$A:$D,4,FALSE))</f>
        <v>14.93</v>
      </c>
      <c r="J1397" s="80">
        <f>TRUNC(H1397*I1397,2)</f>
        <v>2.98</v>
      </c>
      <c r="K1397" s="81"/>
    </row>
    <row r="1398" spans="1:13" ht="15" customHeight="1" x14ac:dyDescent="0.25">
      <c r="A1398" s="16" t="s">
        <v>302</v>
      </c>
      <c r="B1398" s="16" t="s">
        <v>467</v>
      </c>
      <c r="C1398" s="77" t="str">
        <f>VLOOKUP(B1398,IF(A1398="COMPOSICAO",S!$A:$D,I!$A:$D),2,FALSE)</f>
        <v>ENCARGOS COMPLEMENTARES - ELETRICISTA</v>
      </c>
      <c r="D1398" s="77"/>
      <c r="E1398" s="77"/>
      <c r="F1398" s="77"/>
      <c r="G1398" s="16" t="str">
        <f>VLOOKUP(B1398,IF(A1398="COMPOSICAO",S!$A:$D,I!$A:$D),3,FALSE)</f>
        <v>H</v>
      </c>
      <c r="H1398" s="17">
        <v>0.2</v>
      </c>
      <c r="I1398" s="17">
        <f>IF(A1398="COMPOSICAO",VLOOKUP("TOTAL - "&amp;B1398,COMPOSICAO_AUX_2!$A:$J,10,FALSE),VLOOKUP(B1398,I!$A:$D,4,FALSE))</f>
        <v>2.7900000000000005</v>
      </c>
      <c r="J1398" s="80">
        <f>TRUNC(H1398*I1398,2)</f>
        <v>0.55000000000000004</v>
      </c>
      <c r="K1398" s="81"/>
    </row>
    <row r="1399" spans="1:13" ht="15" customHeight="1" x14ac:dyDescent="0.25">
      <c r="A1399" s="23" t="s">
        <v>723</v>
      </c>
      <c r="B1399" s="24"/>
      <c r="C1399" s="24"/>
      <c r="D1399" s="24"/>
      <c r="E1399" s="24"/>
      <c r="F1399" s="24"/>
      <c r="G1399" s="25"/>
      <c r="H1399" s="26"/>
      <c r="I1399" s="27"/>
      <c r="J1399" s="80">
        <f>SUM(J1395:K1398)</f>
        <v>4.53</v>
      </c>
      <c r="K1399" s="81"/>
    </row>
    <row r="1400" spans="1:13" ht="15" customHeight="1" x14ac:dyDescent="0.25">
      <c r="A1400" s="3"/>
      <c r="B1400" s="3"/>
      <c r="C1400" s="3"/>
      <c r="D1400" s="3"/>
      <c r="E1400" s="3"/>
      <c r="F1400" s="3"/>
      <c r="G1400" s="3"/>
      <c r="H1400" s="3"/>
      <c r="I1400" s="3"/>
      <c r="J1400" s="3"/>
      <c r="K1400" s="3"/>
    </row>
    <row r="1401" spans="1:13" ht="15" customHeight="1" x14ac:dyDescent="0.25">
      <c r="A1401" s="10" t="s">
        <v>295</v>
      </c>
      <c r="B1401" s="10" t="s">
        <v>31</v>
      </c>
      <c r="C1401" s="82" t="s">
        <v>7</v>
      </c>
      <c r="D1401" s="83"/>
      <c r="E1401" s="83"/>
      <c r="F1401" s="83"/>
      <c r="G1401" s="6" t="s">
        <v>32</v>
      </c>
      <c r="H1401" s="6" t="s">
        <v>296</v>
      </c>
      <c r="I1401" s="6" t="s">
        <v>297</v>
      </c>
      <c r="J1401" s="57" t="s">
        <v>9</v>
      </c>
      <c r="K1401" s="58"/>
    </row>
    <row r="1402" spans="1:13" ht="45" customHeight="1" x14ac:dyDescent="0.25">
      <c r="A1402" s="6" t="s">
        <v>469</v>
      </c>
      <c r="B1402" s="28">
        <v>91946</v>
      </c>
      <c r="C1402" s="91" t="str">
        <f>VLOOKUP(B1402,S!$A:$D,2,FALSE)</f>
        <v>SUPORTE PARAFUSADO COM PLACA DE ENCAIXE 4" X 2" MÉDIO (1,30 M DO PISO) PARA PONTO ELÉTRICO - FORNECIMENTO E INSTALAÇÃO. AF_12/2015</v>
      </c>
      <c r="D1402" s="91"/>
      <c r="E1402" s="91"/>
      <c r="F1402" s="92"/>
      <c r="G1402" s="6" t="str">
        <f>VLOOKUP(B1402,S!$A:$D,3,FALSE)</f>
        <v>UN</v>
      </c>
      <c r="H1402" s="21"/>
      <c r="I1402" s="21">
        <f>J1406</f>
        <v>6.8100000000000005</v>
      </c>
      <c r="J1402" s="76"/>
      <c r="K1402" s="72"/>
      <c r="L1402" s="21">
        <f>VLOOKUP(B1402,S!$A:$D,4,FALSE)</f>
        <v>6.81</v>
      </c>
      <c r="M1402" s="6" t="str">
        <f>IF(ROUND((L1402-I1402),2)=0,"OK, confere com a tabela.",IF(ROUND((L1402-I1402),2)&lt;0,"ACIMA ("&amp;TEXT(ROUND(I1402*100/L1402,4),"0,0000")&amp;" %) da tabela.","ABAIXO ("&amp;TEXT(ROUND(I1402*100/L1402,4),"0,0000")&amp;" %) da tabela."))</f>
        <v>OK, confere com a tabela.</v>
      </c>
    </row>
    <row r="1403" spans="1:13" ht="30" customHeight="1" x14ac:dyDescent="0.25">
      <c r="A1403" s="16" t="s">
        <v>306</v>
      </c>
      <c r="B1403" s="20">
        <v>38094</v>
      </c>
      <c r="C1403" s="77" t="str">
        <f>VLOOKUP(B1403,IF(A1403="COMPOSICAO",S!$A:$D,I!$A:$D),2,FALSE)</f>
        <v>ESPELHO / PLACA DE 3 POSTOS 4" X 2", PARA INSTALACAO DE TOMADAS E INTERRUPTORES</v>
      </c>
      <c r="D1403" s="77"/>
      <c r="E1403" s="77"/>
      <c r="F1403" s="77"/>
      <c r="G1403" s="16" t="str">
        <f>VLOOKUP(B1403,IF(A1403="COMPOSICAO",S!$A:$D,I!$A:$D),3,FALSE)</f>
        <v>UN</v>
      </c>
      <c r="H1403" s="17">
        <v>1</v>
      </c>
      <c r="I1403" s="17">
        <f>IF(A1403="COMPOSICAO",VLOOKUP("TOTAL - "&amp;B1403,COMPOSICAO_AUX_2!$A:$J,10,FALSE),VLOOKUP(B1403,I!$A:$D,4,FALSE))</f>
        <v>2.85</v>
      </c>
      <c r="J1403" s="80">
        <f>TRUNC(H1403*I1403,2)</f>
        <v>2.85</v>
      </c>
      <c r="K1403" s="81"/>
    </row>
    <row r="1404" spans="1:13" ht="45" customHeight="1" x14ac:dyDescent="0.25">
      <c r="A1404" s="16" t="s">
        <v>306</v>
      </c>
      <c r="B1404" s="20">
        <v>38099</v>
      </c>
      <c r="C1404" s="77" t="str">
        <f>VLOOKUP(B1404,IF(A1404="COMPOSICAO",S!$A:$D,I!$A:$D),2,FALSE)</f>
        <v>SUPORTE DE FIXACAO PARA ESPELHO / PLACA 4" X 2", PARA 3 MODULOS, PARA INSTALACAO DE TOMADAS E INTERRUPTORES (SOMENTE SUPORTE)</v>
      </c>
      <c r="D1404" s="77"/>
      <c r="E1404" s="77"/>
      <c r="F1404" s="77"/>
      <c r="G1404" s="16" t="str">
        <f>VLOOKUP(B1404,IF(A1404="COMPOSICAO",S!$A:$D,I!$A:$D),3,FALSE)</f>
        <v>UN</v>
      </c>
      <c r="H1404" s="17">
        <v>1</v>
      </c>
      <c r="I1404" s="17">
        <f>IF(A1404="COMPOSICAO",VLOOKUP("TOTAL - "&amp;B1404,COMPOSICAO_AUX_2!$A:$J,10,FALSE),VLOOKUP(B1404,I!$A:$D,4,FALSE))</f>
        <v>1.48</v>
      </c>
      <c r="J1404" s="80">
        <f>TRUNC(H1404*I1404,2)</f>
        <v>1.48</v>
      </c>
      <c r="K1404" s="81"/>
    </row>
    <row r="1405" spans="1:13" ht="15" customHeight="1" x14ac:dyDescent="0.25">
      <c r="A1405" s="16" t="s">
        <v>302</v>
      </c>
      <c r="B1405" s="20">
        <v>88264</v>
      </c>
      <c r="C1405" s="77" t="str">
        <f>VLOOKUP(B1405,IF(A1405="COMPOSICAO",S!$A:$D,I!$A:$D),2,FALSE)</f>
        <v>ELETRICISTA COM ENCARGOS COMPLEMENTARES</v>
      </c>
      <c r="D1405" s="77"/>
      <c r="E1405" s="77"/>
      <c r="F1405" s="77"/>
      <c r="G1405" s="16" t="str">
        <f>VLOOKUP(B1405,IF(A1405="COMPOSICAO",S!$A:$D,I!$A:$D),3,FALSE)</f>
        <v>H</v>
      </c>
      <c r="H1405" s="30">
        <v>0.124</v>
      </c>
      <c r="I1405" s="17">
        <f>IF(A1405="COMPOSICAO",VLOOKUP("TOTAL - "&amp;B1405,COMPOSICAO_AUX_2!$A:$J,10,FALSE),VLOOKUP(B1405,I!$A:$D,4,FALSE))</f>
        <v>20.02</v>
      </c>
      <c r="J1405" s="80">
        <f>TRUNC(H1405*I1405,2)</f>
        <v>2.48</v>
      </c>
      <c r="K1405" s="81"/>
    </row>
    <row r="1406" spans="1:13" ht="15" customHeight="1" x14ac:dyDescent="0.25">
      <c r="A1406" s="23" t="s">
        <v>724</v>
      </c>
      <c r="B1406" s="24"/>
      <c r="C1406" s="24"/>
      <c r="D1406" s="24"/>
      <c r="E1406" s="24"/>
      <c r="F1406" s="24"/>
      <c r="G1406" s="25"/>
      <c r="H1406" s="26"/>
      <c r="I1406" s="27"/>
      <c r="J1406" s="80">
        <f>SUM(J1402:K1405)</f>
        <v>6.8100000000000005</v>
      </c>
      <c r="K1406" s="81"/>
    </row>
    <row r="1407" spans="1:13" ht="15" customHeight="1" x14ac:dyDescent="0.25">
      <c r="A1407" s="3"/>
      <c r="B1407" s="3"/>
      <c r="C1407" s="3"/>
      <c r="D1407" s="3"/>
      <c r="E1407" s="3"/>
      <c r="F1407" s="3"/>
      <c r="G1407" s="3"/>
      <c r="H1407" s="3"/>
      <c r="I1407" s="3"/>
      <c r="J1407" s="3"/>
      <c r="K1407" s="3"/>
    </row>
    <row r="1408" spans="1:13" ht="15" customHeight="1" x14ac:dyDescent="0.25">
      <c r="A1408" s="10" t="s">
        <v>295</v>
      </c>
      <c r="B1408" s="10" t="s">
        <v>31</v>
      </c>
      <c r="C1408" s="82" t="s">
        <v>7</v>
      </c>
      <c r="D1408" s="83"/>
      <c r="E1408" s="83"/>
      <c r="F1408" s="83"/>
      <c r="G1408" s="6" t="s">
        <v>32</v>
      </c>
      <c r="H1408" s="6" t="s">
        <v>296</v>
      </c>
      <c r="I1408" s="6" t="s">
        <v>297</v>
      </c>
      <c r="J1408" s="57" t="s">
        <v>9</v>
      </c>
      <c r="K1408" s="58"/>
    </row>
    <row r="1409" spans="1:13" ht="45" customHeight="1" x14ac:dyDescent="0.25">
      <c r="A1409" s="6" t="s">
        <v>469</v>
      </c>
      <c r="B1409" s="28">
        <v>91952</v>
      </c>
      <c r="C1409" s="91" t="str">
        <f>VLOOKUP(B1409,S!$A:$D,2,FALSE)</f>
        <v>INTERRUPTOR SIMPLES (1 MÓDULO), 10A/250V, SEM SUPORTE E SEM PLACA - FORNECIMENTO E INSTALAÇÃO. AF_12/2015</v>
      </c>
      <c r="D1409" s="91"/>
      <c r="E1409" s="91"/>
      <c r="F1409" s="92"/>
      <c r="G1409" s="6" t="str">
        <f>VLOOKUP(B1409,S!$A:$D,3,FALSE)</f>
        <v>UN</v>
      </c>
      <c r="H1409" s="21"/>
      <c r="I1409" s="21">
        <f>J1413</f>
        <v>14.71</v>
      </c>
      <c r="J1409" s="76"/>
      <c r="K1409" s="72"/>
      <c r="L1409" s="21">
        <f>VLOOKUP(B1409,S!$A:$D,4,FALSE)</f>
        <v>14.71</v>
      </c>
      <c r="M1409" s="6" t="str">
        <f>IF(ROUND((L1409-I1409),2)=0,"OK, confere com a tabela.",IF(ROUND((L1409-I1409),2)&lt;0,"ACIMA ("&amp;TEXT(ROUND(I1409*100/L1409,4),"0,0000")&amp;" %) da tabela.","ABAIXO ("&amp;TEXT(ROUND(I1409*100/L1409,4),"0,0000")&amp;" %) da tabela."))</f>
        <v>OK, confere com a tabela.</v>
      </c>
    </row>
    <row r="1410" spans="1:13" ht="15" customHeight="1" x14ac:dyDescent="0.25">
      <c r="A1410" s="16" t="s">
        <v>306</v>
      </c>
      <c r="B1410" s="20">
        <v>38112</v>
      </c>
      <c r="C1410" s="77" t="str">
        <f>VLOOKUP(B1410,IF(A1410="COMPOSICAO",S!$A:$D,I!$A:$D),2,FALSE)</f>
        <v>INTERRUPTOR SIMPLES 10A, 250V (APENAS MODULO)</v>
      </c>
      <c r="D1410" s="77"/>
      <c r="E1410" s="77"/>
      <c r="F1410" s="77"/>
      <c r="G1410" s="16" t="str">
        <f>VLOOKUP(B1410,IF(A1410="COMPOSICAO",S!$A:$D,I!$A:$D),3,FALSE)</f>
        <v>UN</v>
      </c>
      <c r="H1410" s="17">
        <v>1</v>
      </c>
      <c r="I1410" s="17">
        <f>IF(A1410="COMPOSICAO",VLOOKUP("TOTAL - "&amp;B1410,COMPOSICAO_AUX_2!$A:$J,10,FALSE),VLOOKUP(B1410,I!$A:$D,4,FALSE))</f>
        <v>6.73</v>
      </c>
      <c r="J1410" s="80">
        <f>TRUNC(H1410*I1410,2)</f>
        <v>6.73</v>
      </c>
      <c r="K1410" s="81"/>
    </row>
    <row r="1411" spans="1:13" ht="30" customHeight="1" x14ac:dyDescent="0.25">
      <c r="A1411" s="16" t="s">
        <v>302</v>
      </c>
      <c r="B1411" s="20">
        <v>88247</v>
      </c>
      <c r="C1411" s="77" t="str">
        <f>VLOOKUP(B1411,IF(A1411="COMPOSICAO",S!$A:$D,I!$A:$D),2,FALSE)</f>
        <v>AUXILIAR DE ELETRICISTA COM ENCARGOS COMPLEMENTARES</v>
      </c>
      <c r="D1411" s="77"/>
      <c r="E1411" s="77"/>
      <c r="F1411" s="77"/>
      <c r="G1411" s="16" t="str">
        <f>VLOOKUP(B1411,IF(A1411="COMPOSICAO",S!$A:$D,I!$A:$D),3,FALSE)</f>
        <v>H</v>
      </c>
      <c r="H1411" s="30">
        <v>0.22500000000000001</v>
      </c>
      <c r="I1411" s="17">
        <f>IF(A1411="COMPOSICAO",VLOOKUP("TOTAL - "&amp;B1411,COMPOSICAO_AUX_2!$A:$J,10,FALSE),VLOOKUP(B1411,I!$A:$D,4,FALSE))</f>
        <v>15.469999999999999</v>
      </c>
      <c r="J1411" s="80">
        <f>TRUNC(H1411*I1411,2)</f>
        <v>3.48</v>
      </c>
      <c r="K1411" s="81"/>
    </row>
    <row r="1412" spans="1:13" ht="15" customHeight="1" x14ac:dyDescent="0.25">
      <c r="A1412" s="16" t="s">
        <v>302</v>
      </c>
      <c r="B1412" s="20">
        <v>88264</v>
      </c>
      <c r="C1412" s="77" t="str">
        <f>VLOOKUP(B1412,IF(A1412="COMPOSICAO",S!$A:$D,I!$A:$D),2,FALSE)</f>
        <v>ELETRICISTA COM ENCARGOS COMPLEMENTARES</v>
      </c>
      <c r="D1412" s="77"/>
      <c r="E1412" s="77"/>
      <c r="F1412" s="77"/>
      <c r="G1412" s="16" t="str">
        <f>VLOOKUP(B1412,IF(A1412="COMPOSICAO",S!$A:$D,I!$A:$D),3,FALSE)</f>
        <v>H</v>
      </c>
      <c r="H1412" s="30">
        <v>0.22500000000000001</v>
      </c>
      <c r="I1412" s="17">
        <f>IF(A1412="COMPOSICAO",VLOOKUP("TOTAL - "&amp;B1412,COMPOSICAO_AUX_2!$A:$J,10,FALSE),VLOOKUP(B1412,I!$A:$D,4,FALSE))</f>
        <v>20.02</v>
      </c>
      <c r="J1412" s="80">
        <f>TRUNC(H1412*I1412,2)</f>
        <v>4.5</v>
      </c>
      <c r="K1412" s="81"/>
    </row>
    <row r="1413" spans="1:13" ht="15" customHeight="1" x14ac:dyDescent="0.25">
      <c r="A1413" s="23" t="s">
        <v>725</v>
      </c>
      <c r="B1413" s="24"/>
      <c r="C1413" s="24"/>
      <c r="D1413" s="24"/>
      <c r="E1413" s="24"/>
      <c r="F1413" s="24"/>
      <c r="G1413" s="25"/>
      <c r="H1413" s="26"/>
      <c r="I1413" s="27"/>
      <c r="J1413" s="80">
        <f>SUM(J1409:K1412)</f>
        <v>14.71</v>
      </c>
      <c r="K1413" s="81"/>
    </row>
    <row r="1414" spans="1:13" ht="15" customHeight="1" x14ac:dyDescent="0.25">
      <c r="A1414" s="3"/>
      <c r="B1414" s="3"/>
      <c r="C1414" s="3"/>
      <c r="D1414" s="3"/>
      <c r="E1414" s="3"/>
      <c r="F1414" s="3"/>
      <c r="G1414" s="3"/>
      <c r="H1414" s="3"/>
      <c r="I1414" s="3"/>
      <c r="J1414" s="3"/>
      <c r="K1414" s="3"/>
    </row>
    <row r="1415" spans="1:13" ht="15" customHeight="1" x14ac:dyDescent="0.25">
      <c r="A1415" s="10" t="s">
        <v>295</v>
      </c>
      <c r="B1415" s="10" t="s">
        <v>31</v>
      </c>
      <c r="C1415" s="82" t="s">
        <v>7</v>
      </c>
      <c r="D1415" s="83"/>
      <c r="E1415" s="83"/>
      <c r="F1415" s="83"/>
      <c r="G1415" s="6" t="s">
        <v>32</v>
      </c>
      <c r="H1415" s="6" t="s">
        <v>296</v>
      </c>
      <c r="I1415" s="6" t="s">
        <v>297</v>
      </c>
      <c r="J1415" s="57" t="s">
        <v>9</v>
      </c>
      <c r="K1415" s="58"/>
    </row>
    <row r="1416" spans="1:13" ht="45" customHeight="1" x14ac:dyDescent="0.25">
      <c r="A1416" s="6" t="s">
        <v>469</v>
      </c>
      <c r="B1416" s="28">
        <v>91968</v>
      </c>
      <c r="C1416" s="91" t="str">
        <f>VLOOKUP(B1416,S!$A:$D,2,FALSE)</f>
        <v>INTERRUPTOR PARALELO (3 MÓDULOS), 10A/250V, SEM SUPORTE E SEM PLACA - FORNECIMENTO E INSTALAÇÃO. AF_12/2015</v>
      </c>
      <c r="D1416" s="91"/>
      <c r="E1416" s="91"/>
      <c r="F1416" s="92"/>
      <c r="G1416" s="6" t="str">
        <f>VLOOKUP(B1416,S!$A:$D,3,FALSE)</f>
        <v>UN</v>
      </c>
      <c r="H1416" s="21"/>
      <c r="I1416" s="21">
        <f>J1420</f>
        <v>54.730000000000004</v>
      </c>
      <c r="J1416" s="76"/>
      <c r="K1416" s="72"/>
      <c r="L1416" s="21">
        <f>VLOOKUP(B1416,S!$A:$D,4,FALSE)</f>
        <v>54.73</v>
      </c>
      <c r="M1416" s="6" t="str">
        <f>IF(ROUND((L1416-I1416),2)=0,"OK, confere com a tabela.",IF(ROUND((L1416-I1416),2)&lt;0,"ACIMA ("&amp;TEXT(ROUND(I1416*100/L1416,4),"0,0000")&amp;" %) da tabela.","ABAIXO ("&amp;TEXT(ROUND(I1416*100/L1416,4),"0,0000")&amp;" %) da tabela."))</f>
        <v>OK, confere com a tabela.</v>
      </c>
    </row>
    <row r="1417" spans="1:13" ht="30" customHeight="1" x14ac:dyDescent="0.25">
      <c r="A1417" s="16" t="s">
        <v>306</v>
      </c>
      <c r="B1417" s="20">
        <v>38113</v>
      </c>
      <c r="C1417" s="77" t="str">
        <f>VLOOKUP(B1417,IF(A1417="COMPOSICAO",S!$A:$D,I!$A:$D),2,FALSE)</f>
        <v>INTERRUPTOR PARALELO 10A, 250V (APENAS MODULO)</v>
      </c>
      <c r="D1417" s="77"/>
      <c r="E1417" s="77"/>
      <c r="F1417" s="77"/>
      <c r="G1417" s="16" t="str">
        <f>VLOOKUP(B1417,IF(A1417="COMPOSICAO",S!$A:$D,I!$A:$D),3,FALSE)</f>
        <v>UN</v>
      </c>
      <c r="H1417" s="17">
        <v>3</v>
      </c>
      <c r="I1417" s="17">
        <f>IF(A1417="COMPOSICAO",VLOOKUP("TOTAL - "&amp;B1417,COMPOSICAO_AUX_2!$A:$J,10,FALSE),VLOOKUP(B1417,I!$A:$D,4,FALSE))</f>
        <v>8.76</v>
      </c>
      <c r="J1417" s="80">
        <f>TRUNC(H1417*I1417,2)</f>
        <v>26.28</v>
      </c>
      <c r="K1417" s="81"/>
    </row>
    <row r="1418" spans="1:13" ht="30" customHeight="1" x14ac:dyDescent="0.25">
      <c r="A1418" s="16" t="s">
        <v>302</v>
      </c>
      <c r="B1418" s="20">
        <v>88247</v>
      </c>
      <c r="C1418" s="77" t="str">
        <f>VLOOKUP(B1418,IF(A1418="COMPOSICAO",S!$A:$D,I!$A:$D),2,FALSE)</f>
        <v>AUXILIAR DE ELETRICISTA COM ENCARGOS COMPLEMENTARES</v>
      </c>
      <c r="D1418" s="77"/>
      <c r="E1418" s="77"/>
      <c r="F1418" s="77"/>
      <c r="G1418" s="16" t="str">
        <f>VLOOKUP(B1418,IF(A1418="COMPOSICAO",S!$A:$D,I!$A:$D),3,FALSE)</f>
        <v>H</v>
      </c>
      <c r="H1418" s="30">
        <v>0.80200000000000005</v>
      </c>
      <c r="I1418" s="17">
        <f>IF(A1418="COMPOSICAO",VLOOKUP("TOTAL - "&amp;B1418,COMPOSICAO_AUX_2!$A:$J,10,FALSE),VLOOKUP(B1418,I!$A:$D,4,FALSE))</f>
        <v>15.469999999999999</v>
      </c>
      <c r="J1418" s="80">
        <f>TRUNC(H1418*I1418,2)</f>
        <v>12.4</v>
      </c>
      <c r="K1418" s="81"/>
    </row>
    <row r="1419" spans="1:13" ht="15" customHeight="1" x14ac:dyDescent="0.25">
      <c r="A1419" s="16" t="s">
        <v>302</v>
      </c>
      <c r="B1419" s="20">
        <v>88264</v>
      </c>
      <c r="C1419" s="77" t="str">
        <f>VLOOKUP(B1419,IF(A1419="COMPOSICAO",S!$A:$D,I!$A:$D),2,FALSE)</f>
        <v>ELETRICISTA COM ENCARGOS COMPLEMENTARES</v>
      </c>
      <c r="D1419" s="77"/>
      <c r="E1419" s="77"/>
      <c r="F1419" s="77"/>
      <c r="G1419" s="16" t="str">
        <f>VLOOKUP(B1419,IF(A1419="COMPOSICAO",S!$A:$D,I!$A:$D),3,FALSE)</f>
        <v>H</v>
      </c>
      <c r="H1419" s="30">
        <v>0.80200000000000005</v>
      </c>
      <c r="I1419" s="17">
        <f>IF(A1419="COMPOSICAO",VLOOKUP("TOTAL - "&amp;B1419,COMPOSICAO_AUX_2!$A:$J,10,FALSE),VLOOKUP(B1419,I!$A:$D,4,FALSE))</f>
        <v>20.02</v>
      </c>
      <c r="J1419" s="80">
        <f>TRUNC(H1419*I1419,2)</f>
        <v>16.05</v>
      </c>
      <c r="K1419" s="81"/>
    </row>
    <row r="1420" spans="1:13" ht="15" customHeight="1" x14ac:dyDescent="0.25">
      <c r="A1420" s="23" t="s">
        <v>726</v>
      </c>
      <c r="B1420" s="24"/>
      <c r="C1420" s="24"/>
      <c r="D1420" s="24"/>
      <c r="E1420" s="24"/>
      <c r="F1420" s="24"/>
      <c r="G1420" s="25"/>
      <c r="H1420" s="26"/>
      <c r="I1420" s="27"/>
      <c r="J1420" s="80">
        <f>SUM(J1416:K1419)</f>
        <v>54.730000000000004</v>
      </c>
      <c r="K1420" s="81"/>
    </row>
    <row r="1421" spans="1:13" ht="15" customHeight="1" x14ac:dyDescent="0.25">
      <c r="A1421" s="3"/>
      <c r="B1421" s="3"/>
      <c r="C1421" s="3"/>
      <c r="D1421" s="3"/>
      <c r="E1421" s="3"/>
      <c r="F1421" s="3"/>
      <c r="G1421" s="3"/>
      <c r="H1421" s="3"/>
      <c r="I1421" s="3"/>
      <c r="J1421" s="3"/>
      <c r="K1421" s="3"/>
    </row>
    <row r="1422" spans="1:13" ht="15" customHeight="1" x14ac:dyDescent="0.25">
      <c r="A1422" s="10" t="s">
        <v>295</v>
      </c>
      <c r="B1422" s="10" t="s">
        <v>31</v>
      </c>
      <c r="C1422" s="82" t="s">
        <v>7</v>
      </c>
      <c r="D1422" s="83"/>
      <c r="E1422" s="83"/>
      <c r="F1422" s="83"/>
      <c r="G1422" s="6" t="s">
        <v>32</v>
      </c>
      <c r="H1422" s="6" t="s">
        <v>296</v>
      </c>
      <c r="I1422" s="6" t="s">
        <v>297</v>
      </c>
      <c r="J1422" s="57" t="s">
        <v>9</v>
      </c>
      <c r="K1422" s="58"/>
    </row>
    <row r="1423" spans="1:13" ht="45" customHeight="1" x14ac:dyDescent="0.25">
      <c r="A1423" s="6" t="s">
        <v>469</v>
      </c>
      <c r="B1423" s="28">
        <v>92006</v>
      </c>
      <c r="C1423" s="91" t="str">
        <f>VLOOKUP(B1423,S!$A:$D,2,FALSE)</f>
        <v>TOMADA BAIXA DE EMBUTIR (2 MÓDULOS), 2P+T 10 A, SEM SUPORTE E SEM PLACA - FORNECIMENTO E INSTALAÇÃO. AF_12/2015</v>
      </c>
      <c r="D1423" s="91"/>
      <c r="E1423" s="91"/>
      <c r="F1423" s="92"/>
      <c r="G1423" s="6" t="str">
        <f>VLOOKUP(B1423,S!$A:$D,3,FALSE)</f>
        <v>UN</v>
      </c>
      <c r="H1423" s="21"/>
      <c r="I1423" s="21">
        <f>J1427</f>
        <v>29.82</v>
      </c>
      <c r="J1423" s="76"/>
      <c r="K1423" s="72"/>
      <c r="L1423" s="21">
        <f>VLOOKUP(B1423,S!$A:$D,4,FALSE)</f>
        <v>29.82</v>
      </c>
      <c r="M1423" s="6" t="str">
        <f>IF(ROUND((L1423-I1423),2)=0,"OK, confere com a tabela.",IF(ROUND((L1423-I1423),2)&lt;0,"ACIMA ("&amp;TEXT(ROUND(I1423*100/L1423,4),"0,0000")&amp;" %) da tabela.","ABAIXO ("&amp;TEXT(ROUND(I1423*100/L1423,4),"0,0000")&amp;" %) da tabela."))</f>
        <v>OK, confere com a tabela.</v>
      </c>
    </row>
    <row r="1424" spans="1:13" ht="15" customHeight="1" x14ac:dyDescent="0.25">
      <c r="A1424" s="16" t="s">
        <v>306</v>
      </c>
      <c r="B1424" s="20">
        <v>38101</v>
      </c>
      <c r="C1424" s="77" t="str">
        <f>VLOOKUP(B1424,IF(A1424="COMPOSICAO",S!$A:$D,I!$A:$D),2,FALSE)</f>
        <v>TOMADA 2P+T 10A, 250V  (APENAS MODULO)</v>
      </c>
      <c r="D1424" s="77"/>
      <c r="E1424" s="77"/>
      <c r="F1424" s="77"/>
      <c r="G1424" s="16" t="str">
        <f>VLOOKUP(B1424,IF(A1424="COMPOSICAO",S!$A:$D,I!$A:$D),3,FALSE)</f>
        <v>UN</v>
      </c>
      <c r="H1424" s="17">
        <v>2</v>
      </c>
      <c r="I1424" s="17">
        <f>IF(A1424="COMPOSICAO",VLOOKUP("TOTAL - "&amp;B1424,COMPOSICAO_AUX_2!$A:$J,10,FALSE),VLOOKUP(B1424,I!$A:$D,4,FALSE))</f>
        <v>7.66</v>
      </c>
      <c r="J1424" s="80">
        <f>TRUNC(H1424*I1424,2)</f>
        <v>15.32</v>
      </c>
      <c r="K1424" s="81"/>
    </row>
    <row r="1425" spans="1:13" ht="30" customHeight="1" x14ac:dyDescent="0.25">
      <c r="A1425" s="16" t="s">
        <v>302</v>
      </c>
      <c r="B1425" s="20">
        <v>88247</v>
      </c>
      <c r="C1425" s="77" t="str">
        <f>VLOOKUP(B1425,IF(A1425="COMPOSICAO",S!$A:$D,I!$A:$D),2,FALSE)</f>
        <v>AUXILIAR DE ELETRICISTA COM ENCARGOS COMPLEMENTARES</v>
      </c>
      <c r="D1425" s="77"/>
      <c r="E1425" s="77"/>
      <c r="F1425" s="77"/>
      <c r="G1425" s="16" t="str">
        <f>VLOOKUP(B1425,IF(A1425="COMPOSICAO",S!$A:$D,I!$A:$D),3,FALSE)</f>
        <v>H</v>
      </c>
      <c r="H1425" s="30">
        <v>0.40899999999999997</v>
      </c>
      <c r="I1425" s="17">
        <f>IF(A1425="COMPOSICAO",VLOOKUP("TOTAL - "&amp;B1425,COMPOSICAO_AUX_2!$A:$J,10,FALSE),VLOOKUP(B1425,I!$A:$D,4,FALSE))</f>
        <v>15.469999999999999</v>
      </c>
      <c r="J1425" s="80">
        <f>TRUNC(H1425*I1425,2)</f>
        <v>6.32</v>
      </c>
      <c r="K1425" s="81"/>
    </row>
    <row r="1426" spans="1:13" ht="15" customHeight="1" x14ac:dyDescent="0.25">
      <c r="A1426" s="16" t="s">
        <v>302</v>
      </c>
      <c r="B1426" s="20">
        <v>88264</v>
      </c>
      <c r="C1426" s="77" t="str">
        <f>VLOOKUP(B1426,IF(A1426="COMPOSICAO",S!$A:$D,I!$A:$D),2,FALSE)</f>
        <v>ELETRICISTA COM ENCARGOS COMPLEMENTARES</v>
      </c>
      <c r="D1426" s="77"/>
      <c r="E1426" s="77"/>
      <c r="F1426" s="77"/>
      <c r="G1426" s="16" t="str">
        <f>VLOOKUP(B1426,IF(A1426="COMPOSICAO",S!$A:$D,I!$A:$D),3,FALSE)</f>
        <v>H</v>
      </c>
      <c r="H1426" s="30">
        <v>0.40899999999999997</v>
      </c>
      <c r="I1426" s="17">
        <f>IF(A1426="COMPOSICAO",VLOOKUP("TOTAL - "&amp;B1426,COMPOSICAO_AUX_2!$A:$J,10,FALSE),VLOOKUP(B1426,I!$A:$D,4,FALSE))</f>
        <v>20.02</v>
      </c>
      <c r="J1426" s="80">
        <f>TRUNC(H1426*I1426,2)</f>
        <v>8.18</v>
      </c>
      <c r="K1426" s="81"/>
    </row>
    <row r="1427" spans="1:13" ht="15" customHeight="1" x14ac:dyDescent="0.25">
      <c r="A1427" s="23" t="s">
        <v>727</v>
      </c>
      <c r="B1427" s="24"/>
      <c r="C1427" s="24"/>
      <c r="D1427" s="24"/>
      <c r="E1427" s="24"/>
      <c r="F1427" s="24"/>
      <c r="G1427" s="25"/>
      <c r="H1427" s="26"/>
      <c r="I1427" s="27"/>
      <c r="J1427" s="80">
        <f>SUM(J1423:K1426)</f>
        <v>29.82</v>
      </c>
      <c r="K1427" s="81"/>
    </row>
    <row r="1428" spans="1:13" ht="15" customHeight="1" x14ac:dyDescent="0.25">
      <c r="A1428" s="3"/>
      <c r="B1428" s="3"/>
      <c r="C1428" s="3"/>
      <c r="D1428" s="3"/>
      <c r="E1428" s="3"/>
      <c r="F1428" s="3"/>
      <c r="G1428" s="3"/>
      <c r="H1428" s="3"/>
      <c r="I1428" s="3"/>
      <c r="J1428" s="3"/>
      <c r="K1428" s="3"/>
    </row>
    <row r="1429" spans="1:13" ht="15" customHeight="1" x14ac:dyDescent="0.25">
      <c r="A1429" s="10" t="s">
        <v>295</v>
      </c>
      <c r="B1429" s="10" t="s">
        <v>31</v>
      </c>
      <c r="C1429" s="82" t="s">
        <v>7</v>
      </c>
      <c r="D1429" s="83"/>
      <c r="E1429" s="83"/>
      <c r="F1429" s="83"/>
      <c r="G1429" s="6" t="s">
        <v>32</v>
      </c>
      <c r="H1429" s="6" t="s">
        <v>296</v>
      </c>
      <c r="I1429" s="6" t="s">
        <v>297</v>
      </c>
      <c r="J1429" s="57" t="s">
        <v>9</v>
      </c>
      <c r="K1429" s="58"/>
    </row>
    <row r="1430" spans="1:13" ht="90" customHeight="1" x14ac:dyDescent="0.25">
      <c r="A1430" s="6" t="s">
        <v>372</v>
      </c>
      <c r="B1430" s="28">
        <v>87527</v>
      </c>
      <c r="C1430" s="91" t="str">
        <f>VLOOKUP(B1430,S!$A:$D,2,FALSE)</f>
        <v>EMBOÇO, PARA RECEBIMENTO DE CERÂMICA, EM ARGAMASSA TRAÇO 1:2:8, PREPARO MECÂNICO COM BETONEIRA 400L, APLICADO MANUALMENTE EM FACES INTERNAS DE PAREDES, PARA AMBIENTE COM ÁREA MENOR QUE 5M2, ESPESSURA DE 20MM, COM EXECUÇÃO DE TALISCAS. AF_06/2014</v>
      </c>
      <c r="D1430" s="91"/>
      <c r="E1430" s="91"/>
      <c r="F1430" s="92"/>
      <c r="G1430" s="6" t="str">
        <f>VLOOKUP(B1430,S!$A:$D,3,FALSE)</f>
        <v>M2</v>
      </c>
      <c r="H1430" s="21"/>
      <c r="I1430" s="21">
        <f>J1434</f>
        <v>32.389999999999993</v>
      </c>
      <c r="J1430" s="76"/>
      <c r="K1430" s="72"/>
      <c r="L1430" s="21">
        <f>VLOOKUP(B1430,S!$A:$D,4,FALSE)</f>
        <v>32.39</v>
      </c>
      <c r="M1430" s="6" t="str">
        <f>IF(ROUND((L1430-I1430),2)=0,"OK, confere com a tabela.",IF(ROUND((L1430-I1430),2)&lt;0,"ACIMA ("&amp;TEXT(ROUND(I1430*100/L1430,4),"0,0000")&amp;" %) da tabela.","ABAIXO ("&amp;TEXT(ROUND(I1430*100/L1430,4),"0,0000")&amp;" %) da tabela."))</f>
        <v>OK, confere com a tabela.</v>
      </c>
    </row>
    <row r="1431" spans="1:13" ht="75" customHeight="1" x14ac:dyDescent="0.25">
      <c r="A1431" s="16" t="s">
        <v>302</v>
      </c>
      <c r="B1431" s="20">
        <v>87292</v>
      </c>
      <c r="C1431" s="77" t="str">
        <f>VLOOKUP(B1431,IF(A1431="COMPOSICAO",S!$A:$D,I!$A:$D),2,FALSE)</f>
        <v>ARGAMASSA TRAÇO 1:2:8 (EM VOLUME DE CIMENTO, CAL E AREIA MÉDIA ÚMIDA) PARA EMBOÇO/MASSA ÚNICA/ASSENTAMENTO DE ALVENARIA DE VEDAÇÃO, PREPARO MECÂNICO COM BETONEIRA 400 L. AF_08/2019</v>
      </c>
      <c r="D1431" s="77"/>
      <c r="E1431" s="77"/>
      <c r="F1431" s="77"/>
      <c r="G1431" s="16" t="str">
        <f>VLOOKUP(B1431,IF(A1431="COMPOSICAO",S!$A:$D,I!$A:$D),3,FALSE)</f>
        <v>M3</v>
      </c>
      <c r="H1431" s="29">
        <v>3.7600000000000001E-2</v>
      </c>
      <c r="I1431" s="17">
        <f>IF(A1431="COMPOSICAO",VLOOKUP("TOTAL - "&amp;B1431,COMPOSICAO_AUX_2!$A:$J,10,FALSE),VLOOKUP(B1431,I!$A:$D,4,FALSE))</f>
        <v>469.65000000000003</v>
      </c>
      <c r="J1431" s="80">
        <f>TRUNC(H1431*I1431,2)</f>
        <v>17.649999999999999</v>
      </c>
      <c r="K1431" s="81"/>
    </row>
    <row r="1432" spans="1:13" ht="15" customHeight="1" x14ac:dyDescent="0.25">
      <c r="A1432" s="16" t="s">
        <v>302</v>
      </c>
      <c r="B1432" s="20">
        <v>88309</v>
      </c>
      <c r="C1432" s="77" t="str">
        <f>VLOOKUP(B1432,IF(A1432="COMPOSICAO",S!$A:$D,I!$A:$D),2,FALSE)</f>
        <v>PEDREIRO COM ENCARGOS COMPLEMENTARES</v>
      </c>
      <c r="D1432" s="77"/>
      <c r="E1432" s="77"/>
      <c r="F1432" s="77"/>
      <c r="G1432" s="16" t="str">
        <f>VLOOKUP(B1432,IF(A1432="COMPOSICAO",S!$A:$D,I!$A:$D),3,FALSE)</f>
        <v>H</v>
      </c>
      <c r="H1432" s="17">
        <v>0.57999999999999996</v>
      </c>
      <c r="I1432" s="17">
        <f>IF(A1432="COMPOSICAO",VLOOKUP("TOTAL - "&amp;B1432,COMPOSICAO_AUX_2!$A:$J,10,FALSE),VLOOKUP(B1432,I!$A:$D,4,FALSE))</f>
        <v>19.849999999999994</v>
      </c>
      <c r="J1432" s="80">
        <f>TRUNC(H1432*I1432,2)</f>
        <v>11.51</v>
      </c>
      <c r="K1432" s="81"/>
    </row>
    <row r="1433" spans="1:13" ht="15" customHeight="1" x14ac:dyDescent="0.25">
      <c r="A1433" s="16" t="s">
        <v>302</v>
      </c>
      <c r="B1433" s="20">
        <v>88316</v>
      </c>
      <c r="C1433" s="77" t="str">
        <f>VLOOKUP(B1433,IF(A1433="COMPOSICAO",S!$A:$D,I!$A:$D),2,FALSE)</f>
        <v>SERVENTE COM ENCARGOS COMPLEMENTARES</v>
      </c>
      <c r="D1433" s="77"/>
      <c r="E1433" s="77"/>
      <c r="F1433" s="77"/>
      <c r="G1433" s="16" t="str">
        <f>VLOOKUP(B1433,IF(A1433="COMPOSICAO",S!$A:$D,I!$A:$D),3,FALSE)</f>
        <v>H</v>
      </c>
      <c r="H1433" s="30">
        <v>0.21099999999999999</v>
      </c>
      <c r="I1433" s="17">
        <f>IF(A1433="COMPOSICAO",VLOOKUP("TOTAL - "&amp;B1433,COMPOSICAO_AUX_2!$A:$J,10,FALSE),VLOOKUP(B1433,I!$A:$D,4,FALSE))</f>
        <v>15.35</v>
      </c>
      <c r="J1433" s="80">
        <f>TRUNC(H1433*I1433,2)</f>
        <v>3.23</v>
      </c>
      <c r="K1433" s="81"/>
    </row>
    <row r="1434" spans="1:13" ht="15" customHeight="1" x14ac:dyDescent="0.25">
      <c r="A1434" s="23" t="s">
        <v>728</v>
      </c>
      <c r="B1434" s="24"/>
      <c r="C1434" s="24"/>
      <c r="D1434" s="24"/>
      <c r="E1434" s="24"/>
      <c r="F1434" s="24"/>
      <c r="G1434" s="25"/>
      <c r="H1434" s="26"/>
      <c r="I1434" s="27"/>
      <c r="J1434" s="80">
        <f>SUM(J1430:K1433)</f>
        <v>32.389999999999993</v>
      </c>
      <c r="K1434" s="81"/>
    </row>
    <row r="1435" spans="1:13" ht="15" customHeight="1" x14ac:dyDescent="0.25">
      <c r="A1435" s="3"/>
      <c r="B1435" s="3"/>
      <c r="C1435" s="3"/>
      <c r="D1435" s="3"/>
      <c r="E1435" s="3"/>
      <c r="F1435" s="3"/>
      <c r="G1435" s="3"/>
      <c r="H1435" s="3"/>
      <c r="I1435" s="3"/>
      <c r="J1435" s="3"/>
      <c r="K1435" s="3"/>
    </row>
    <row r="1436" spans="1:13" ht="15" customHeight="1" x14ac:dyDescent="0.25">
      <c r="A1436" s="10" t="s">
        <v>295</v>
      </c>
      <c r="B1436" s="10" t="s">
        <v>31</v>
      </c>
      <c r="C1436" s="82" t="s">
        <v>7</v>
      </c>
      <c r="D1436" s="83"/>
      <c r="E1436" s="83"/>
      <c r="F1436" s="83"/>
      <c r="G1436" s="6" t="s">
        <v>32</v>
      </c>
      <c r="H1436" s="6" t="s">
        <v>296</v>
      </c>
      <c r="I1436" s="6" t="s">
        <v>297</v>
      </c>
      <c r="J1436" s="57" t="s">
        <v>9</v>
      </c>
      <c r="K1436" s="58"/>
    </row>
    <row r="1437" spans="1:13" ht="75" customHeight="1" x14ac:dyDescent="0.25">
      <c r="A1437" s="6" t="s">
        <v>372</v>
      </c>
      <c r="B1437" s="28">
        <v>87529</v>
      </c>
      <c r="C1437" s="91" t="str">
        <f>VLOOKUP(B1437,S!$A:$D,2,FALSE)</f>
        <v>MASSA ÚNICA, PARA RECEBIMENTO DE PINTURA, EM ARGAMASSA TRAÇO 1:2:8, PREPARO MECÂNICO COM BETONEIRA 400L, APLICADA MANUALMENTE EM FACES INTERNAS DE PAREDES, ESPESSURA DE 20MM, COM EXECUÇÃO DE TALISCAS. AF_06/2014</v>
      </c>
      <c r="D1437" s="91"/>
      <c r="E1437" s="91"/>
      <c r="F1437" s="92"/>
      <c r="G1437" s="6" t="str">
        <f>VLOOKUP(B1437,S!$A:$D,3,FALSE)</f>
        <v>M2</v>
      </c>
      <c r="H1437" s="21"/>
      <c r="I1437" s="21">
        <f>J1441</f>
        <v>29.59</v>
      </c>
      <c r="J1437" s="76"/>
      <c r="K1437" s="72"/>
      <c r="L1437" s="21">
        <f>VLOOKUP(B1437,S!$A:$D,4,FALSE)</f>
        <v>29.59</v>
      </c>
      <c r="M1437" s="6" t="str">
        <f>IF(ROUND((L1437-I1437),2)=0,"OK, confere com a tabela.",IF(ROUND((L1437-I1437),2)&lt;0,"ACIMA ("&amp;TEXT(ROUND(I1437*100/L1437,4),"0,0000")&amp;" %) da tabela.","ABAIXO ("&amp;TEXT(ROUND(I1437*100/L1437,4),"0,0000")&amp;" %) da tabela."))</f>
        <v>OK, confere com a tabela.</v>
      </c>
    </row>
    <row r="1438" spans="1:13" ht="75" customHeight="1" x14ac:dyDescent="0.25">
      <c r="A1438" s="16" t="s">
        <v>302</v>
      </c>
      <c r="B1438" s="20">
        <v>87292</v>
      </c>
      <c r="C1438" s="77" t="str">
        <f>VLOOKUP(B1438,IF(A1438="COMPOSICAO",S!$A:$D,I!$A:$D),2,FALSE)</f>
        <v>ARGAMASSA TRAÇO 1:2:8 (EM VOLUME DE CIMENTO, CAL E AREIA MÉDIA ÚMIDA) PARA EMBOÇO/MASSA ÚNICA/ASSENTAMENTO DE ALVENARIA DE VEDAÇÃO, PREPARO MECÂNICO COM BETONEIRA 400 L. AF_08/2019</v>
      </c>
      <c r="D1438" s="77"/>
      <c r="E1438" s="77"/>
      <c r="F1438" s="77"/>
      <c r="G1438" s="16" t="str">
        <f>VLOOKUP(B1438,IF(A1438="COMPOSICAO",S!$A:$D,I!$A:$D),3,FALSE)</f>
        <v>M3</v>
      </c>
      <c r="H1438" s="29">
        <v>3.7600000000000001E-2</v>
      </c>
      <c r="I1438" s="17">
        <f>IF(A1438="COMPOSICAO",VLOOKUP("TOTAL - "&amp;B1438,COMPOSICAO_AUX_2!$A:$J,10,FALSE),VLOOKUP(B1438,I!$A:$D,4,FALSE))</f>
        <v>469.65000000000003</v>
      </c>
      <c r="J1438" s="80">
        <f>TRUNC(H1438*I1438,2)</f>
        <v>17.649999999999999</v>
      </c>
      <c r="K1438" s="81"/>
    </row>
    <row r="1439" spans="1:13" ht="15" customHeight="1" x14ac:dyDescent="0.25">
      <c r="A1439" s="16" t="s">
        <v>302</v>
      </c>
      <c r="B1439" s="20">
        <v>88309</v>
      </c>
      <c r="C1439" s="77" t="str">
        <f>VLOOKUP(B1439,IF(A1439="COMPOSICAO",S!$A:$D,I!$A:$D),2,FALSE)</f>
        <v>PEDREIRO COM ENCARGOS COMPLEMENTARES</v>
      </c>
      <c r="D1439" s="77"/>
      <c r="E1439" s="77"/>
      <c r="F1439" s="77"/>
      <c r="G1439" s="16" t="str">
        <f>VLOOKUP(B1439,IF(A1439="COMPOSICAO",S!$A:$D,I!$A:$D),3,FALSE)</f>
        <v>H</v>
      </c>
      <c r="H1439" s="17">
        <v>0.47</v>
      </c>
      <c r="I1439" s="17">
        <f>IF(A1439="COMPOSICAO",VLOOKUP("TOTAL - "&amp;B1439,COMPOSICAO_AUX_2!$A:$J,10,FALSE),VLOOKUP(B1439,I!$A:$D,4,FALSE))</f>
        <v>19.849999999999994</v>
      </c>
      <c r="J1439" s="80">
        <f>TRUNC(H1439*I1439,2)</f>
        <v>9.32</v>
      </c>
      <c r="K1439" s="81"/>
    </row>
    <row r="1440" spans="1:13" ht="15" customHeight="1" x14ac:dyDescent="0.25">
      <c r="A1440" s="16" t="s">
        <v>302</v>
      </c>
      <c r="B1440" s="20">
        <v>88316</v>
      </c>
      <c r="C1440" s="77" t="str">
        <f>VLOOKUP(B1440,IF(A1440="COMPOSICAO",S!$A:$D,I!$A:$D),2,FALSE)</f>
        <v>SERVENTE COM ENCARGOS COMPLEMENTARES</v>
      </c>
      <c r="D1440" s="77"/>
      <c r="E1440" s="77"/>
      <c r="F1440" s="77"/>
      <c r="G1440" s="16" t="str">
        <f>VLOOKUP(B1440,IF(A1440="COMPOSICAO",S!$A:$D,I!$A:$D),3,FALSE)</f>
        <v>H</v>
      </c>
      <c r="H1440" s="30">
        <v>0.17100000000000001</v>
      </c>
      <c r="I1440" s="17">
        <f>IF(A1440="COMPOSICAO",VLOOKUP("TOTAL - "&amp;B1440,COMPOSICAO_AUX_2!$A:$J,10,FALSE),VLOOKUP(B1440,I!$A:$D,4,FALSE))</f>
        <v>15.35</v>
      </c>
      <c r="J1440" s="80">
        <f>TRUNC(H1440*I1440,2)</f>
        <v>2.62</v>
      </c>
      <c r="K1440" s="81"/>
    </row>
    <row r="1441" spans="1:13" ht="15" customHeight="1" x14ac:dyDescent="0.25">
      <c r="A1441" s="23" t="s">
        <v>729</v>
      </c>
      <c r="B1441" s="24"/>
      <c r="C1441" s="24"/>
      <c r="D1441" s="24"/>
      <c r="E1441" s="24"/>
      <c r="F1441" s="24"/>
      <c r="G1441" s="25"/>
      <c r="H1441" s="26"/>
      <c r="I1441" s="27"/>
      <c r="J1441" s="80">
        <f>SUM(J1437:K1440)</f>
        <v>29.59</v>
      </c>
      <c r="K1441" s="81"/>
    </row>
    <row r="1442" spans="1:13" ht="15" customHeight="1" x14ac:dyDescent="0.25">
      <c r="A1442" s="3"/>
      <c r="B1442" s="3"/>
      <c r="C1442" s="3"/>
      <c r="D1442" s="3"/>
      <c r="E1442" s="3"/>
      <c r="F1442" s="3"/>
      <c r="G1442" s="3"/>
      <c r="H1442" s="3"/>
      <c r="I1442" s="3"/>
      <c r="J1442" s="3"/>
      <c r="K1442" s="3"/>
    </row>
    <row r="1443" spans="1:13" ht="15" customHeight="1" x14ac:dyDescent="0.25">
      <c r="A1443" s="10" t="s">
        <v>295</v>
      </c>
      <c r="B1443" s="10" t="s">
        <v>31</v>
      </c>
      <c r="C1443" s="82" t="s">
        <v>7</v>
      </c>
      <c r="D1443" s="83"/>
      <c r="E1443" s="83"/>
      <c r="F1443" s="83"/>
      <c r="G1443" s="6" t="s">
        <v>32</v>
      </c>
      <c r="H1443" s="6" t="s">
        <v>296</v>
      </c>
      <c r="I1443" s="6" t="s">
        <v>297</v>
      </c>
      <c r="J1443" s="57" t="s">
        <v>9</v>
      </c>
      <c r="K1443" s="58"/>
    </row>
    <row r="1444" spans="1:13" ht="90" customHeight="1" x14ac:dyDescent="0.25">
      <c r="A1444" s="6" t="s">
        <v>372</v>
      </c>
      <c r="B1444" s="28">
        <v>87531</v>
      </c>
      <c r="C1444" s="91" t="str">
        <f>VLOOKUP(B1444,S!$A:$D,2,FALSE)</f>
        <v>EMBOÇO, PARA RECEBIMENTO DE CERÂMICA, EM ARGAMASSA TRAÇO 1:2:8, PREPARO MECÂNICO COM BETONEIRA 400L, APLICADO MANUALMENTE EM FACES INTERNAS DE PAREDES, PARA AMBIENTE COM ÁREA ENTRE 5M2 E 10M2, ESPESSURA DE 20MM, COM EXECUÇÃO DE TALISCAS. AF_06/2014</v>
      </c>
      <c r="D1444" s="91"/>
      <c r="E1444" s="91"/>
      <c r="F1444" s="92"/>
      <c r="G1444" s="6" t="str">
        <f>VLOOKUP(B1444,S!$A:$D,3,FALSE)</f>
        <v>M2</v>
      </c>
      <c r="H1444" s="21"/>
      <c r="I1444" s="21">
        <f>J1448</f>
        <v>28.6</v>
      </c>
      <c r="J1444" s="76"/>
      <c r="K1444" s="72"/>
      <c r="L1444" s="21">
        <f>VLOOKUP(B1444,S!$A:$D,4,FALSE)</f>
        <v>28.6</v>
      </c>
      <c r="M1444" s="6" t="str">
        <f>IF(ROUND((L1444-I1444),2)=0,"OK, confere com a tabela.",IF(ROUND((L1444-I1444),2)&lt;0,"ACIMA ("&amp;TEXT(ROUND(I1444*100/L1444,4),"0,0000")&amp;" %) da tabela.","ABAIXO ("&amp;TEXT(ROUND(I1444*100/L1444,4),"0,0000")&amp;" %) da tabela."))</f>
        <v>OK, confere com a tabela.</v>
      </c>
    </row>
    <row r="1445" spans="1:13" ht="75" customHeight="1" x14ac:dyDescent="0.25">
      <c r="A1445" s="16" t="s">
        <v>302</v>
      </c>
      <c r="B1445" s="20">
        <v>87292</v>
      </c>
      <c r="C1445" s="77" t="str">
        <f>VLOOKUP(B1445,IF(A1445="COMPOSICAO",S!$A:$D,I!$A:$D),2,FALSE)</f>
        <v>ARGAMASSA TRAÇO 1:2:8 (EM VOLUME DE CIMENTO, CAL E AREIA MÉDIA ÚMIDA) PARA EMBOÇO/MASSA ÚNICA/ASSENTAMENTO DE ALVENARIA DE VEDAÇÃO, PREPARO MECÂNICO COM BETONEIRA 400 L. AF_08/2019</v>
      </c>
      <c r="D1445" s="77"/>
      <c r="E1445" s="77"/>
      <c r="F1445" s="77"/>
      <c r="G1445" s="16" t="str">
        <f>VLOOKUP(B1445,IF(A1445="COMPOSICAO",S!$A:$D,I!$A:$D),3,FALSE)</f>
        <v>M3</v>
      </c>
      <c r="H1445" s="29">
        <v>3.7600000000000001E-2</v>
      </c>
      <c r="I1445" s="17">
        <f>IF(A1445="COMPOSICAO",VLOOKUP("TOTAL - "&amp;B1445,COMPOSICAO_AUX_2!$A:$J,10,FALSE),VLOOKUP(B1445,I!$A:$D,4,FALSE))</f>
        <v>469.65000000000003</v>
      </c>
      <c r="J1445" s="80">
        <f>TRUNC(H1445*I1445,2)</f>
        <v>17.649999999999999</v>
      </c>
      <c r="K1445" s="81"/>
    </row>
    <row r="1446" spans="1:13" ht="15" customHeight="1" x14ac:dyDescent="0.25">
      <c r="A1446" s="16" t="s">
        <v>302</v>
      </c>
      <c r="B1446" s="20">
        <v>88309</v>
      </c>
      <c r="C1446" s="77" t="str">
        <f>VLOOKUP(B1446,IF(A1446="COMPOSICAO",S!$A:$D,I!$A:$D),2,FALSE)</f>
        <v>PEDREIRO COM ENCARGOS COMPLEMENTARES</v>
      </c>
      <c r="D1446" s="77"/>
      <c r="E1446" s="77"/>
      <c r="F1446" s="77"/>
      <c r="G1446" s="16" t="str">
        <f>VLOOKUP(B1446,IF(A1446="COMPOSICAO",S!$A:$D,I!$A:$D),3,FALSE)</f>
        <v>H</v>
      </c>
      <c r="H1446" s="17">
        <v>0.43</v>
      </c>
      <c r="I1446" s="17">
        <f>IF(A1446="COMPOSICAO",VLOOKUP("TOTAL - "&amp;B1446,COMPOSICAO_AUX_2!$A:$J,10,FALSE),VLOOKUP(B1446,I!$A:$D,4,FALSE))</f>
        <v>19.849999999999994</v>
      </c>
      <c r="J1446" s="80">
        <f>TRUNC(H1446*I1446,2)</f>
        <v>8.5299999999999994</v>
      </c>
      <c r="K1446" s="81"/>
    </row>
    <row r="1447" spans="1:13" ht="15" customHeight="1" x14ac:dyDescent="0.25">
      <c r="A1447" s="16" t="s">
        <v>302</v>
      </c>
      <c r="B1447" s="20">
        <v>88316</v>
      </c>
      <c r="C1447" s="77" t="str">
        <f>VLOOKUP(B1447,IF(A1447="COMPOSICAO",S!$A:$D,I!$A:$D),2,FALSE)</f>
        <v>SERVENTE COM ENCARGOS COMPLEMENTARES</v>
      </c>
      <c r="D1447" s="77"/>
      <c r="E1447" s="77"/>
      <c r="F1447" s="77"/>
      <c r="G1447" s="16" t="str">
        <f>VLOOKUP(B1447,IF(A1447="COMPOSICAO",S!$A:$D,I!$A:$D),3,FALSE)</f>
        <v>H</v>
      </c>
      <c r="H1447" s="30">
        <v>0.158</v>
      </c>
      <c r="I1447" s="17">
        <f>IF(A1447="COMPOSICAO",VLOOKUP("TOTAL - "&amp;B1447,COMPOSICAO_AUX_2!$A:$J,10,FALSE),VLOOKUP(B1447,I!$A:$D,4,FALSE))</f>
        <v>15.35</v>
      </c>
      <c r="J1447" s="80">
        <f>TRUNC(H1447*I1447,2)</f>
        <v>2.42</v>
      </c>
      <c r="K1447" s="81"/>
    </row>
    <row r="1448" spans="1:13" ht="15" customHeight="1" x14ac:dyDescent="0.25">
      <c r="A1448" s="23" t="s">
        <v>730</v>
      </c>
      <c r="B1448" s="24"/>
      <c r="C1448" s="24"/>
      <c r="D1448" s="24"/>
      <c r="E1448" s="24"/>
      <c r="F1448" s="24"/>
      <c r="G1448" s="25"/>
      <c r="H1448" s="26"/>
      <c r="I1448" s="27"/>
      <c r="J1448" s="80">
        <f>SUM(J1444:K1447)</f>
        <v>28.6</v>
      </c>
      <c r="K1448" s="81"/>
    </row>
    <row r="1449" spans="1:13" ht="15" customHeight="1" x14ac:dyDescent="0.25">
      <c r="A1449" s="3"/>
      <c r="B1449" s="3"/>
      <c r="C1449" s="3"/>
      <c r="D1449" s="3"/>
      <c r="E1449" s="3"/>
      <c r="F1449" s="3"/>
      <c r="G1449" s="3"/>
      <c r="H1449" s="3"/>
      <c r="I1449" s="3"/>
      <c r="J1449" s="3"/>
      <c r="K1449" s="3"/>
    </row>
  </sheetData>
  <sheetProtection formatCells="0" formatColumns="0" formatRows="0" insertColumns="0" insertRows="0" insertHyperlinks="0" deleteColumns="0" deleteRows="0" sort="0" autoFilter="0" pivotTables="0"/>
  <mergeCells count="2447">
    <mergeCell ref="C8:F8"/>
    <mergeCell ref="J8:K8"/>
    <mergeCell ref="C9:F9"/>
    <mergeCell ref="J9:K9"/>
    <mergeCell ref="C10:F10"/>
    <mergeCell ref="J10:K10"/>
    <mergeCell ref="A1:K1"/>
    <mergeCell ref="A2:K2"/>
    <mergeCell ref="A3:K3"/>
    <mergeCell ref="C6:F6"/>
    <mergeCell ref="J6:K6"/>
    <mergeCell ref="C7:F7"/>
    <mergeCell ref="J7:K7"/>
    <mergeCell ref="C19:F19"/>
    <mergeCell ref="J19:K19"/>
    <mergeCell ref="C20:F20"/>
    <mergeCell ref="J20:K20"/>
    <mergeCell ref="C21:F21"/>
    <mergeCell ref="J21:K21"/>
    <mergeCell ref="J14:K14"/>
    <mergeCell ref="C16:F16"/>
    <mergeCell ref="J16:K16"/>
    <mergeCell ref="C17:F17"/>
    <mergeCell ref="J17:K17"/>
    <mergeCell ref="C18:F18"/>
    <mergeCell ref="J18:K18"/>
    <mergeCell ref="C11:F11"/>
    <mergeCell ref="J11:K11"/>
    <mergeCell ref="C12:F12"/>
    <mergeCell ref="J12:K12"/>
    <mergeCell ref="C13:F13"/>
    <mergeCell ref="J13:K13"/>
    <mergeCell ref="C30:F30"/>
    <mergeCell ref="J30:K30"/>
    <mergeCell ref="C31:F31"/>
    <mergeCell ref="J31:K31"/>
    <mergeCell ref="C32:F32"/>
    <mergeCell ref="J32:K32"/>
    <mergeCell ref="C27:F27"/>
    <mergeCell ref="J27:K27"/>
    <mergeCell ref="C28:F28"/>
    <mergeCell ref="J28:K28"/>
    <mergeCell ref="C29:F29"/>
    <mergeCell ref="J29:K29"/>
    <mergeCell ref="C22:F22"/>
    <mergeCell ref="J22:K22"/>
    <mergeCell ref="C23:F23"/>
    <mergeCell ref="J23:K23"/>
    <mergeCell ref="J24:K24"/>
    <mergeCell ref="C26:F26"/>
    <mergeCell ref="J26:K26"/>
    <mergeCell ref="C41:F41"/>
    <mergeCell ref="J41:K41"/>
    <mergeCell ref="C42:F42"/>
    <mergeCell ref="J42:K42"/>
    <mergeCell ref="C43:F43"/>
    <mergeCell ref="J43:K43"/>
    <mergeCell ref="C38:F38"/>
    <mergeCell ref="J38:K38"/>
    <mergeCell ref="C39:F39"/>
    <mergeCell ref="J39:K39"/>
    <mergeCell ref="C40:F40"/>
    <mergeCell ref="J40:K40"/>
    <mergeCell ref="C33:F33"/>
    <mergeCell ref="J33:K33"/>
    <mergeCell ref="J34:K34"/>
    <mergeCell ref="C36:F36"/>
    <mergeCell ref="J36:K36"/>
    <mergeCell ref="C37:F37"/>
    <mergeCell ref="J37:K37"/>
    <mergeCell ref="C52:F52"/>
    <mergeCell ref="J52:K52"/>
    <mergeCell ref="C53:F53"/>
    <mergeCell ref="J53:K53"/>
    <mergeCell ref="C54:F54"/>
    <mergeCell ref="J54:K54"/>
    <mergeCell ref="C49:F49"/>
    <mergeCell ref="J49:K49"/>
    <mergeCell ref="C50:F50"/>
    <mergeCell ref="J50:K50"/>
    <mergeCell ref="C51:F51"/>
    <mergeCell ref="J51:K51"/>
    <mergeCell ref="C44:F44"/>
    <mergeCell ref="J44:K44"/>
    <mergeCell ref="J45:K45"/>
    <mergeCell ref="C47:F47"/>
    <mergeCell ref="J47:K47"/>
    <mergeCell ref="C48:F48"/>
    <mergeCell ref="J48:K48"/>
    <mergeCell ref="C63:F63"/>
    <mergeCell ref="J63:K63"/>
    <mergeCell ref="C64:F64"/>
    <mergeCell ref="J64:K64"/>
    <mergeCell ref="C65:F65"/>
    <mergeCell ref="J65:K65"/>
    <mergeCell ref="C60:F60"/>
    <mergeCell ref="J60:K60"/>
    <mergeCell ref="C61:F61"/>
    <mergeCell ref="J61:K61"/>
    <mergeCell ref="C62:F62"/>
    <mergeCell ref="J62:K62"/>
    <mergeCell ref="C55:F55"/>
    <mergeCell ref="J55:K55"/>
    <mergeCell ref="C56:F56"/>
    <mergeCell ref="J56:K56"/>
    <mergeCell ref="J57:K57"/>
    <mergeCell ref="C59:F59"/>
    <mergeCell ref="J59:K59"/>
    <mergeCell ref="C74:F74"/>
    <mergeCell ref="J74:K74"/>
    <mergeCell ref="J75:K75"/>
    <mergeCell ref="C77:F77"/>
    <mergeCell ref="J77:K77"/>
    <mergeCell ref="C78:F78"/>
    <mergeCell ref="J78:K78"/>
    <mergeCell ref="J69:K69"/>
    <mergeCell ref="C71:F71"/>
    <mergeCell ref="J71:K71"/>
    <mergeCell ref="C72:F72"/>
    <mergeCell ref="J72:K72"/>
    <mergeCell ref="C73:F73"/>
    <mergeCell ref="J73:K73"/>
    <mergeCell ref="C66:F66"/>
    <mergeCell ref="J66:K66"/>
    <mergeCell ref="C67:F67"/>
    <mergeCell ref="J67:K67"/>
    <mergeCell ref="C68:F68"/>
    <mergeCell ref="J68:K68"/>
    <mergeCell ref="J87:K87"/>
    <mergeCell ref="C89:F89"/>
    <mergeCell ref="J89:K89"/>
    <mergeCell ref="C90:F90"/>
    <mergeCell ref="J90:K90"/>
    <mergeCell ref="C91:F91"/>
    <mergeCell ref="J91:K91"/>
    <mergeCell ref="C84:F84"/>
    <mergeCell ref="J84:K84"/>
    <mergeCell ref="C85:F85"/>
    <mergeCell ref="J85:K85"/>
    <mergeCell ref="C86:F86"/>
    <mergeCell ref="J86:K86"/>
    <mergeCell ref="C79:F79"/>
    <mergeCell ref="J79:K79"/>
    <mergeCell ref="C80:F80"/>
    <mergeCell ref="J80:K80"/>
    <mergeCell ref="J81:K81"/>
    <mergeCell ref="C83:F83"/>
    <mergeCell ref="J83:K83"/>
    <mergeCell ref="C98:F98"/>
    <mergeCell ref="J98:K98"/>
    <mergeCell ref="C99:F99"/>
    <mergeCell ref="J99:K99"/>
    <mergeCell ref="C100:F100"/>
    <mergeCell ref="J100:K100"/>
    <mergeCell ref="C95:F95"/>
    <mergeCell ref="J95:K95"/>
    <mergeCell ref="C96:F96"/>
    <mergeCell ref="J96:K96"/>
    <mergeCell ref="C97:F97"/>
    <mergeCell ref="J97:K97"/>
    <mergeCell ref="C92:F92"/>
    <mergeCell ref="J92:K92"/>
    <mergeCell ref="C93:F93"/>
    <mergeCell ref="J93:K93"/>
    <mergeCell ref="C94:F94"/>
    <mergeCell ref="J94:K94"/>
    <mergeCell ref="C109:F109"/>
    <mergeCell ref="J109:K109"/>
    <mergeCell ref="C110:F110"/>
    <mergeCell ref="J110:K110"/>
    <mergeCell ref="C111:F111"/>
    <mergeCell ref="J111:K111"/>
    <mergeCell ref="C104:F104"/>
    <mergeCell ref="J104:K104"/>
    <mergeCell ref="J105:K105"/>
    <mergeCell ref="C107:F107"/>
    <mergeCell ref="J107:K107"/>
    <mergeCell ref="C108:F108"/>
    <mergeCell ref="J108:K108"/>
    <mergeCell ref="C101:F101"/>
    <mergeCell ref="J101:K101"/>
    <mergeCell ref="C102:F102"/>
    <mergeCell ref="J102:K102"/>
    <mergeCell ref="C103:F103"/>
    <mergeCell ref="J103:K103"/>
    <mergeCell ref="C118:F118"/>
    <mergeCell ref="J118:K118"/>
    <mergeCell ref="C119:F119"/>
    <mergeCell ref="J119:K119"/>
    <mergeCell ref="C120:F120"/>
    <mergeCell ref="J120:K120"/>
    <mergeCell ref="C115:F115"/>
    <mergeCell ref="J115:K115"/>
    <mergeCell ref="C116:F116"/>
    <mergeCell ref="J116:K116"/>
    <mergeCell ref="C117:F117"/>
    <mergeCell ref="J117:K117"/>
    <mergeCell ref="C112:F112"/>
    <mergeCell ref="J112:K112"/>
    <mergeCell ref="C113:F113"/>
    <mergeCell ref="J113:K113"/>
    <mergeCell ref="C114:F114"/>
    <mergeCell ref="J114:K114"/>
    <mergeCell ref="J127:K127"/>
    <mergeCell ref="C129:F129"/>
    <mergeCell ref="J129:K129"/>
    <mergeCell ref="C130:F130"/>
    <mergeCell ref="J130:K130"/>
    <mergeCell ref="C131:F131"/>
    <mergeCell ref="J131:K131"/>
    <mergeCell ref="C124:F124"/>
    <mergeCell ref="J124:K124"/>
    <mergeCell ref="C125:F125"/>
    <mergeCell ref="J125:K125"/>
    <mergeCell ref="C126:F126"/>
    <mergeCell ref="J126:K126"/>
    <mergeCell ref="C121:F121"/>
    <mergeCell ref="J121:K121"/>
    <mergeCell ref="C122:F122"/>
    <mergeCell ref="J122:K122"/>
    <mergeCell ref="C123:F123"/>
    <mergeCell ref="J123:K123"/>
    <mergeCell ref="C138:F138"/>
    <mergeCell ref="J138:K138"/>
    <mergeCell ref="C139:F139"/>
    <mergeCell ref="J139:K139"/>
    <mergeCell ref="C140:F140"/>
    <mergeCell ref="J140:K140"/>
    <mergeCell ref="C135:F135"/>
    <mergeCell ref="J135:K135"/>
    <mergeCell ref="C136:F136"/>
    <mergeCell ref="J136:K136"/>
    <mergeCell ref="C137:F137"/>
    <mergeCell ref="J137:K137"/>
    <mergeCell ref="C132:F132"/>
    <mergeCell ref="J132:K132"/>
    <mergeCell ref="C133:F133"/>
    <mergeCell ref="J133:K133"/>
    <mergeCell ref="C134:F134"/>
    <mergeCell ref="J134:K134"/>
    <mergeCell ref="C147:F147"/>
    <mergeCell ref="J147:K147"/>
    <mergeCell ref="C148:F148"/>
    <mergeCell ref="J148:K148"/>
    <mergeCell ref="C149:F149"/>
    <mergeCell ref="J149:K149"/>
    <mergeCell ref="C144:F144"/>
    <mergeCell ref="J144:K144"/>
    <mergeCell ref="C145:F145"/>
    <mergeCell ref="J145:K145"/>
    <mergeCell ref="C146:F146"/>
    <mergeCell ref="J146:K146"/>
    <mergeCell ref="C141:F141"/>
    <mergeCell ref="J141:K141"/>
    <mergeCell ref="C142:F142"/>
    <mergeCell ref="J142:K142"/>
    <mergeCell ref="C143:F143"/>
    <mergeCell ref="J143:K143"/>
    <mergeCell ref="C158:F158"/>
    <mergeCell ref="J158:K158"/>
    <mergeCell ref="C159:F159"/>
    <mergeCell ref="J159:K159"/>
    <mergeCell ref="C160:F160"/>
    <mergeCell ref="J160:K160"/>
    <mergeCell ref="C155:F155"/>
    <mergeCell ref="J155:K155"/>
    <mergeCell ref="C156:F156"/>
    <mergeCell ref="J156:K156"/>
    <mergeCell ref="C157:F157"/>
    <mergeCell ref="J157:K157"/>
    <mergeCell ref="C150:F150"/>
    <mergeCell ref="J150:K150"/>
    <mergeCell ref="C151:F151"/>
    <mergeCell ref="J151:K151"/>
    <mergeCell ref="J152:K152"/>
    <mergeCell ref="C154:F154"/>
    <mergeCell ref="J154:K154"/>
    <mergeCell ref="C167:F167"/>
    <mergeCell ref="J167:K167"/>
    <mergeCell ref="J168:K168"/>
    <mergeCell ref="C170:F170"/>
    <mergeCell ref="J170:K170"/>
    <mergeCell ref="C171:F171"/>
    <mergeCell ref="J171:K171"/>
    <mergeCell ref="C164:F164"/>
    <mergeCell ref="J164:K164"/>
    <mergeCell ref="C165:F165"/>
    <mergeCell ref="J165:K165"/>
    <mergeCell ref="C166:F166"/>
    <mergeCell ref="J166:K166"/>
    <mergeCell ref="C161:F161"/>
    <mergeCell ref="J161:K161"/>
    <mergeCell ref="C162:F162"/>
    <mergeCell ref="J162:K162"/>
    <mergeCell ref="C163:F163"/>
    <mergeCell ref="J163:K163"/>
    <mergeCell ref="C180:F180"/>
    <mergeCell ref="J180:K180"/>
    <mergeCell ref="C181:F181"/>
    <mergeCell ref="J181:K181"/>
    <mergeCell ref="C182:F182"/>
    <mergeCell ref="J182:K182"/>
    <mergeCell ref="C175:F175"/>
    <mergeCell ref="J175:K175"/>
    <mergeCell ref="C176:F176"/>
    <mergeCell ref="J176:K176"/>
    <mergeCell ref="J177:K177"/>
    <mergeCell ref="C179:F179"/>
    <mergeCell ref="J179:K179"/>
    <mergeCell ref="C172:F172"/>
    <mergeCell ref="J172:K172"/>
    <mergeCell ref="C173:F173"/>
    <mergeCell ref="J173:K173"/>
    <mergeCell ref="C174:F174"/>
    <mergeCell ref="J174:K174"/>
    <mergeCell ref="C191:F191"/>
    <mergeCell ref="J191:K191"/>
    <mergeCell ref="C192:F192"/>
    <mergeCell ref="J192:K192"/>
    <mergeCell ref="C193:F193"/>
    <mergeCell ref="J193:K193"/>
    <mergeCell ref="J186:K186"/>
    <mergeCell ref="C188:F188"/>
    <mergeCell ref="J188:K188"/>
    <mergeCell ref="C189:F189"/>
    <mergeCell ref="J189:K189"/>
    <mergeCell ref="C190:F190"/>
    <mergeCell ref="J190:K190"/>
    <mergeCell ref="C183:F183"/>
    <mergeCell ref="J183:K183"/>
    <mergeCell ref="C184:F184"/>
    <mergeCell ref="J184:K184"/>
    <mergeCell ref="C185:F185"/>
    <mergeCell ref="J185:K185"/>
    <mergeCell ref="C204:F204"/>
    <mergeCell ref="J204:K204"/>
    <mergeCell ref="J205:K205"/>
    <mergeCell ref="C207:F207"/>
    <mergeCell ref="J207:K207"/>
    <mergeCell ref="C208:F208"/>
    <mergeCell ref="J208:K208"/>
    <mergeCell ref="C199:F199"/>
    <mergeCell ref="J199:K199"/>
    <mergeCell ref="J200:K200"/>
    <mergeCell ref="C202:F202"/>
    <mergeCell ref="J202:K202"/>
    <mergeCell ref="C203:F203"/>
    <mergeCell ref="J203:K203"/>
    <mergeCell ref="C194:F194"/>
    <mergeCell ref="J194:K194"/>
    <mergeCell ref="J195:K195"/>
    <mergeCell ref="C197:F197"/>
    <mergeCell ref="J197:K197"/>
    <mergeCell ref="C198:F198"/>
    <mergeCell ref="J198:K198"/>
    <mergeCell ref="C217:F217"/>
    <mergeCell ref="J217:K217"/>
    <mergeCell ref="C218:F218"/>
    <mergeCell ref="J218:K218"/>
    <mergeCell ref="C219:F219"/>
    <mergeCell ref="J219:K219"/>
    <mergeCell ref="C212:F212"/>
    <mergeCell ref="J212:K212"/>
    <mergeCell ref="C213:F213"/>
    <mergeCell ref="J213:K213"/>
    <mergeCell ref="J214:K214"/>
    <mergeCell ref="C216:F216"/>
    <mergeCell ref="J216:K216"/>
    <mergeCell ref="C209:F209"/>
    <mergeCell ref="J209:K209"/>
    <mergeCell ref="C210:F210"/>
    <mergeCell ref="J210:K210"/>
    <mergeCell ref="C211:F211"/>
    <mergeCell ref="J211:K211"/>
    <mergeCell ref="C228:F228"/>
    <mergeCell ref="J228:K228"/>
    <mergeCell ref="C229:F229"/>
    <mergeCell ref="J229:K229"/>
    <mergeCell ref="C230:F230"/>
    <mergeCell ref="J230:K230"/>
    <mergeCell ref="C223:F223"/>
    <mergeCell ref="J223:K223"/>
    <mergeCell ref="C224:F224"/>
    <mergeCell ref="J224:K224"/>
    <mergeCell ref="J225:K225"/>
    <mergeCell ref="C227:F227"/>
    <mergeCell ref="J227:K227"/>
    <mergeCell ref="C220:F220"/>
    <mergeCell ref="J220:K220"/>
    <mergeCell ref="C221:F221"/>
    <mergeCell ref="J221:K221"/>
    <mergeCell ref="C222:F222"/>
    <mergeCell ref="J222:K222"/>
    <mergeCell ref="C239:F239"/>
    <mergeCell ref="J239:K239"/>
    <mergeCell ref="C240:F240"/>
    <mergeCell ref="J240:K240"/>
    <mergeCell ref="C241:F241"/>
    <mergeCell ref="J241:K241"/>
    <mergeCell ref="C236:F236"/>
    <mergeCell ref="J236:K236"/>
    <mergeCell ref="C237:F237"/>
    <mergeCell ref="J237:K237"/>
    <mergeCell ref="C238:F238"/>
    <mergeCell ref="J238:K238"/>
    <mergeCell ref="C231:F231"/>
    <mergeCell ref="J231:K231"/>
    <mergeCell ref="C232:F232"/>
    <mergeCell ref="J232:K232"/>
    <mergeCell ref="J233:K233"/>
    <mergeCell ref="C235:F235"/>
    <mergeCell ref="J235:K235"/>
    <mergeCell ref="C250:F250"/>
    <mergeCell ref="J250:K250"/>
    <mergeCell ref="C251:F251"/>
    <mergeCell ref="J251:K251"/>
    <mergeCell ref="C252:F252"/>
    <mergeCell ref="J252:K252"/>
    <mergeCell ref="J245:K245"/>
    <mergeCell ref="C247:F247"/>
    <mergeCell ref="J247:K247"/>
    <mergeCell ref="C248:F248"/>
    <mergeCell ref="J248:K248"/>
    <mergeCell ref="C249:F249"/>
    <mergeCell ref="J249:K249"/>
    <mergeCell ref="C242:F242"/>
    <mergeCell ref="J242:K242"/>
    <mergeCell ref="C243:F243"/>
    <mergeCell ref="J243:K243"/>
    <mergeCell ref="C244:F244"/>
    <mergeCell ref="J244:K244"/>
    <mergeCell ref="C261:F261"/>
    <mergeCell ref="J261:K261"/>
    <mergeCell ref="C262:F262"/>
    <mergeCell ref="J262:K262"/>
    <mergeCell ref="J263:K263"/>
    <mergeCell ref="C265:F265"/>
    <mergeCell ref="J265:K265"/>
    <mergeCell ref="C258:F258"/>
    <mergeCell ref="J258:K258"/>
    <mergeCell ref="C259:F259"/>
    <mergeCell ref="J259:K259"/>
    <mergeCell ref="C260:F260"/>
    <mergeCell ref="J260:K260"/>
    <mergeCell ref="C253:F253"/>
    <mergeCell ref="J253:K253"/>
    <mergeCell ref="J254:K254"/>
    <mergeCell ref="C256:F256"/>
    <mergeCell ref="J256:K256"/>
    <mergeCell ref="C257:F257"/>
    <mergeCell ref="J257:K257"/>
    <mergeCell ref="J272:K272"/>
    <mergeCell ref="C274:F274"/>
    <mergeCell ref="J274:K274"/>
    <mergeCell ref="C275:F275"/>
    <mergeCell ref="J275:K275"/>
    <mergeCell ref="C276:F276"/>
    <mergeCell ref="J276:K276"/>
    <mergeCell ref="C269:F269"/>
    <mergeCell ref="J269:K269"/>
    <mergeCell ref="C270:F270"/>
    <mergeCell ref="J270:K270"/>
    <mergeCell ref="C271:F271"/>
    <mergeCell ref="J271:K271"/>
    <mergeCell ref="C266:F266"/>
    <mergeCell ref="J266:K266"/>
    <mergeCell ref="C267:F267"/>
    <mergeCell ref="J267:K267"/>
    <mergeCell ref="C268:F268"/>
    <mergeCell ref="J268:K268"/>
    <mergeCell ref="C283:F283"/>
    <mergeCell ref="J283:K283"/>
    <mergeCell ref="J284:K284"/>
    <mergeCell ref="C286:F286"/>
    <mergeCell ref="J286:K286"/>
    <mergeCell ref="C287:F287"/>
    <mergeCell ref="J287:K287"/>
    <mergeCell ref="C280:F280"/>
    <mergeCell ref="J280:K280"/>
    <mergeCell ref="C281:F281"/>
    <mergeCell ref="J281:K281"/>
    <mergeCell ref="C282:F282"/>
    <mergeCell ref="J282:K282"/>
    <mergeCell ref="C277:F277"/>
    <mergeCell ref="J277:K277"/>
    <mergeCell ref="C278:F278"/>
    <mergeCell ref="J278:K278"/>
    <mergeCell ref="C279:F279"/>
    <mergeCell ref="J279:K279"/>
    <mergeCell ref="C294:F294"/>
    <mergeCell ref="J294:K294"/>
    <mergeCell ref="C295:F295"/>
    <mergeCell ref="J295:K295"/>
    <mergeCell ref="J296:K296"/>
    <mergeCell ref="C298:F298"/>
    <mergeCell ref="J298:K298"/>
    <mergeCell ref="C291:F291"/>
    <mergeCell ref="J291:K291"/>
    <mergeCell ref="C292:F292"/>
    <mergeCell ref="J292:K292"/>
    <mergeCell ref="C293:F293"/>
    <mergeCell ref="J293:K293"/>
    <mergeCell ref="C288:F288"/>
    <mergeCell ref="J288:K288"/>
    <mergeCell ref="C289:F289"/>
    <mergeCell ref="J289:K289"/>
    <mergeCell ref="C290:F290"/>
    <mergeCell ref="J290:K290"/>
    <mergeCell ref="C305:F305"/>
    <mergeCell ref="J305:K305"/>
    <mergeCell ref="J306:K306"/>
    <mergeCell ref="C308:F308"/>
    <mergeCell ref="J308:K308"/>
    <mergeCell ref="C309:F309"/>
    <mergeCell ref="J309:K309"/>
    <mergeCell ref="C302:F302"/>
    <mergeCell ref="J302:K302"/>
    <mergeCell ref="C303:F303"/>
    <mergeCell ref="J303:K303"/>
    <mergeCell ref="C304:F304"/>
    <mergeCell ref="J304:K304"/>
    <mergeCell ref="C299:F299"/>
    <mergeCell ref="J299:K299"/>
    <mergeCell ref="C300:F300"/>
    <mergeCell ref="J300:K300"/>
    <mergeCell ref="C301:F301"/>
    <mergeCell ref="J301:K301"/>
    <mergeCell ref="J316:K316"/>
    <mergeCell ref="C318:F318"/>
    <mergeCell ref="J318:K318"/>
    <mergeCell ref="C319:F319"/>
    <mergeCell ref="J319:K319"/>
    <mergeCell ref="C320:F320"/>
    <mergeCell ref="J320:K320"/>
    <mergeCell ref="C313:F313"/>
    <mergeCell ref="J313:K313"/>
    <mergeCell ref="C314:F314"/>
    <mergeCell ref="J314:K314"/>
    <mergeCell ref="C315:F315"/>
    <mergeCell ref="J315:K315"/>
    <mergeCell ref="C310:F310"/>
    <mergeCell ref="J310:K310"/>
    <mergeCell ref="C311:F311"/>
    <mergeCell ref="J311:K311"/>
    <mergeCell ref="C312:F312"/>
    <mergeCell ref="J312:K312"/>
    <mergeCell ref="C329:F329"/>
    <mergeCell ref="J329:K329"/>
    <mergeCell ref="C330:F330"/>
    <mergeCell ref="J330:K330"/>
    <mergeCell ref="C331:F331"/>
    <mergeCell ref="J331:K331"/>
    <mergeCell ref="J324:K324"/>
    <mergeCell ref="C326:F326"/>
    <mergeCell ref="J326:K326"/>
    <mergeCell ref="C327:F327"/>
    <mergeCell ref="J327:K327"/>
    <mergeCell ref="C328:F328"/>
    <mergeCell ref="J328:K328"/>
    <mergeCell ref="C321:F321"/>
    <mergeCell ref="J321:K321"/>
    <mergeCell ref="C322:F322"/>
    <mergeCell ref="J322:K322"/>
    <mergeCell ref="C323:F323"/>
    <mergeCell ref="J323:K323"/>
    <mergeCell ref="J340:K340"/>
    <mergeCell ref="C342:F342"/>
    <mergeCell ref="J342:K342"/>
    <mergeCell ref="C343:F343"/>
    <mergeCell ref="J343:K343"/>
    <mergeCell ref="C344:F344"/>
    <mergeCell ref="J344:K344"/>
    <mergeCell ref="C337:F337"/>
    <mergeCell ref="J337:K337"/>
    <mergeCell ref="C338:F338"/>
    <mergeCell ref="J338:K338"/>
    <mergeCell ref="C339:F339"/>
    <mergeCell ref="J339:K339"/>
    <mergeCell ref="C332:F332"/>
    <mergeCell ref="J332:K332"/>
    <mergeCell ref="J333:K333"/>
    <mergeCell ref="C335:F335"/>
    <mergeCell ref="J335:K335"/>
    <mergeCell ref="C336:F336"/>
    <mergeCell ref="J336:K336"/>
    <mergeCell ref="C351:F351"/>
    <mergeCell ref="J351:K351"/>
    <mergeCell ref="J352:K352"/>
    <mergeCell ref="C354:F354"/>
    <mergeCell ref="J354:K354"/>
    <mergeCell ref="C355:F355"/>
    <mergeCell ref="J355:K355"/>
    <mergeCell ref="C348:F348"/>
    <mergeCell ref="J348:K348"/>
    <mergeCell ref="C349:F349"/>
    <mergeCell ref="J349:K349"/>
    <mergeCell ref="C350:F350"/>
    <mergeCell ref="J350:K350"/>
    <mergeCell ref="C345:F345"/>
    <mergeCell ref="J345:K345"/>
    <mergeCell ref="C346:F346"/>
    <mergeCell ref="J346:K346"/>
    <mergeCell ref="C347:F347"/>
    <mergeCell ref="J347:K347"/>
    <mergeCell ref="C362:F362"/>
    <mergeCell ref="J362:K362"/>
    <mergeCell ref="C363:F363"/>
    <mergeCell ref="J363:K363"/>
    <mergeCell ref="J364:K364"/>
    <mergeCell ref="C366:F366"/>
    <mergeCell ref="J366:K366"/>
    <mergeCell ref="C359:F359"/>
    <mergeCell ref="J359:K359"/>
    <mergeCell ref="C360:F360"/>
    <mergeCell ref="J360:K360"/>
    <mergeCell ref="C361:F361"/>
    <mergeCell ref="J361:K361"/>
    <mergeCell ref="C356:F356"/>
    <mergeCell ref="J356:K356"/>
    <mergeCell ref="C357:F357"/>
    <mergeCell ref="J357:K357"/>
    <mergeCell ref="C358:F358"/>
    <mergeCell ref="J358:K358"/>
    <mergeCell ref="C373:F373"/>
    <mergeCell ref="J373:K373"/>
    <mergeCell ref="C374:F374"/>
    <mergeCell ref="J374:K374"/>
    <mergeCell ref="J375:K375"/>
    <mergeCell ref="C377:F377"/>
    <mergeCell ref="J377:K377"/>
    <mergeCell ref="C370:F370"/>
    <mergeCell ref="J370:K370"/>
    <mergeCell ref="C371:F371"/>
    <mergeCell ref="J371:K371"/>
    <mergeCell ref="C372:F372"/>
    <mergeCell ref="J372:K372"/>
    <mergeCell ref="C367:F367"/>
    <mergeCell ref="J367:K367"/>
    <mergeCell ref="C368:F368"/>
    <mergeCell ref="J368:K368"/>
    <mergeCell ref="C369:F369"/>
    <mergeCell ref="J369:K369"/>
    <mergeCell ref="C384:F384"/>
    <mergeCell ref="J384:K384"/>
    <mergeCell ref="C385:F385"/>
    <mergeCell ref="J385:K385"/>
    <mergeCell ref="J386:K386"/>
    <mergeCell ref="C388:F388"/>
    <mergeCell ref="J388:K388"/>
    <mergeCell ref="C381:F381"/>
    <mergeCell ref="J381:K381"/>
    <mergeCell ref="C382:F382"/>
    <mergeCell ref="J382:K382"/>
    <mergeCell ref="C383:F383"/>
    <mergeCell ref="J383:K383"/>
    <mergeCell ref="C378:F378"/>
    <mergeCell ref="J378:K378"/>
    <mergeCell ref="C379:F379"/>
    <mergeCell ref="J379:K379"/>
    <mergeCell ref="C380:F380"/>
    <mergeCell ref="J380:K380"/>
    <mergeCell ref="C395:F395"/>
    <mergeCell ref="J395:K395"/>
    <mergeCell ref="J396:K396"/>
    <mergeCell ref="C398:F398"/>
    <mergeCell ref="J398:K398"/>
    <mergeCell ref="C399:F399"/>
    <mergeCell ref="J399:K399"/>
    <mergeCell ref="C392:F392"/>
    <mergeCell ref="J392:K392"/>
    <mergeCell ref="C393:F393"/>
    <mergeCell ref="J393:K393"/>
    <mergeCell ref="C394:F394"/>
    <mergeCell ref="J394:K394"/>
    <mergeCell ref="C389:F389"/>
    <mergeCell ref="J389:K389"/>
    <mergeCell ref="C390:F390"/>
    <mergeCell ref="J390:K390"/>
    <mergeCell ref="C391:F391"/>
    <mergeCell ref="J391:K391"/>
    <mergeCell ref="J406:K406"/>
    <mergeCell ref="C408:F408"/>
    <mergeCell ref="J408:K408"/>
    <mergeCell ref="C409:F409"/>
    <mergeCell ref="J409:K409"/>
    <mergeCell ref="C410:F410"/>
    <mergeCell ref="J410:K410"/>
    <mergeCell ref="C403:F403"/>
    <mergeCell ref="J403:K403"/>
    <mergeCell ref="C404:F404"/>
    <mergeCell ref="J404:K404"/>
    <mergeCell ref="C405:F405"/>
    <mergeCell ref="J405:K405"/>
    <mergeCell ref="C400:F400"/>
    <mergeCell ref="J400:K400"/>
    <mergeCell ref="C401:F401"/>
    <mergeCell ref="J401:K401"/>
    <mergeCell ref="C402:F402"/>
    <mergeCell ref="J402:K402"/>
    <mergeCell ref="C419:F419"/>
    <mergeCell ref="J419:K419"/>
    <mergeCell ref="C420:F420"/>
    <mergeCell ref="J420:K420"/>
    <mergeCell ref="C421:F421"/>
    <mergeCell ref="J421:K421"/>
    <mergeCell ref="C414:F414"/>
    <mergeCell ref="J414:K414"/>
    <mergeCell ref="J415:K415"/>
    <mergeCell ref="C417:F417"/>
    <mergeCell ref="J417:K417"/>
    <mergeCell ref="C418:F418"/>
    <mergeCell ref="J418:K418"/>
    <mergeCell ref="C411:F411"/>
    <mergeCell ref="J411:K411"/>
    <mergeCell ref="C412:F412"/>
    <mergeCell ref="J412:K412"/>
    <mergeCell ref="C413:F413"/>
    <mergeCell ref="J413:K413"/>
    <mergeCell ref="C430:F430"/>
    <mergeCell ref="J430:K430"/>
    <mergeCell ref="C431:F431"/>
    <mergeCell ref="J431:K431"/>
    <mergeCell ref="C432:F432"/>
    <mergeCell ref="J432:K432"/>
    <mergeCell ref="C427:F427"/>
    <mergeCell ref="J427:K427"/>
    <mergeCell ref="C428:F428"/>
    <mergeCell ref="J428:K428"/>
    <mergeCell ref="C429:F429"/>
    <mergeCell ref="J429:K429"/>
    <mergeCell ref="C422:F422"/>
    <mergeCell ref="J422:K422"/>
    <mergeCell ref="C423:F423"/>
    <mergeCell ref="J423:K423"/>
    <mergeCell ref="J424:K424"/>
    <mergeCell ref="C426:F426"/>
    <mergeCell ref="J426:K426"/>
    <mergeCell ref="C441:F441"/>
    <mergeCell ref="J441:K441"/>
    <mergeCell ref="J442:K442"/>
    <mergeCell ref="C444:F444"/>
    <mergeCell ref="J444:K444"/>
    <mergeCell ref="C445:F445"/>
    <mergeCell ref="J445:K445"/>
    <mergeCell ref="C438:F438"/>
    <mergeCell ref="J438:K438"/>
    <mergeCell ref="C439:F439"/>
    <mergeCell ref="J439:K439"/>
    <mergeCell ref="C440:F440"/>
    <mergeCell ref="J440:K440"/>
    <mergeCell ref="J433:K433"/>
    <mergeCell ref="C435:F435"/>
    <mergeCell ref="J435:K435"/>
    <mergeCell ref="C436:F436"/>
    <mergeCell ref="J436:K436"/>
    <mergeCell ref="C437:F437"/>
    <mergeCell ref="J437:K437"/>
    <mergeCell ref="C454:F454"/>
    <mergeCell ref="J454:K454"/>
    <mergeCell ref="C455:F455"/>
    <mergeCell ref="J455:K455"/>
    <mergeCell ref="C456:F456"/>
    <mergeCell ref="J456:K456"/>
    <mergeCell ref="C449:F449"/>
    <mergeCell ref="J449:K449"/>
    <mergeCell ref="C450:F450"/>
    <mergeCell ref="J450:K450"/>
    <mergeCell ref="J451:K451"/>
    <mergeCell ref="C453:F453"/>
    <mergeCell ref="J453:K453"/>
    <mergeCell ref="C446:F446"/>
    <mergeCell ref="J446:K446"/>
    <mergeCell ref="C447:F447"/>
    <mergeCell ref="J447:K447"/>
    <mergeCell ref="C448:F448"/>
    <mergeCell ref="J448:K448"/>
    <mergeCell ref="C465:F465"/>
    <mergeCell ref="J465:K465"/>
    <mergeCell ref="C466:F466"/>
    <mergeCell ref="J466:K466"/>
    <mergeCell ref="C467:F467"/>
    <mergeCell ref="J467:K467"/>
    <mergeCell ref="J460:K460"/>
    <mergeCell ref="C462:F462"/>
    <mergeCell ref="J462:K462"/>
    <mergeCell ref="C463:F463"/>
    <mergeCell ref="J463:K463"/>
    <mergeCell ref="C464:F464"/>
    <mergeCell ref="J464:K464"/>
    <mergeCell ref="C457:F457"/>
    <mergeCell ref="J457:K457"/>
    <mergeCell ref="C458:F458"/>
    <mergeCell ref="J458:K458"/>
    <mergeCell ref="C459:F459"/>
    <mergeCell ref="J459:K459"/>
    <mergeCell ref="C476:F476"/>
    <mergeCell ref="J476:K476"/>
    <mergeCell ref="J477:K477"/>
    <mergeCell ref="C479:F479"/>
    <mergeCell ref="J479:K479"/>
    <mergeCell ref="C480:F480"/>
    <mergeCell ref="J480:K480"/>
    <mergeCell ref="C473:F473"/>
    <mergeCell ref="J473:K473"/>
    <mergeCell ref="C474:F474"/>
    <mergeCell ref="J474:K474"/>
    <mergeCell ref="C475:F475"/>
    <mergeCell ref="J475:K475"/>
    <mergeCell ref="C468:F468"/>
    <mergeCell ref="J468:K468"/>
    <mergeCell ref="J469:K469"/>
    <mergeCell ref="C471:F471"/>
    <mergeCell ref="J471:K471"/>
    <mergeCell ref="C472:F472"/>
    <mergeCell ref="J472:K472"/>
    <mergeCell ref="C489:F489"/>
    <mergeCell ref="J489:K489"/>
    <mergeCell ref="C490:F490"/>
    <mergeCell ref="J490:K490"/>
    <mergeCell ref="C491:F491"/>
    <mergeCell ref="J491:K491"/>
    <mergeCell ref="C484:F484"/>
    <mergeCell ref="J484:K484"/>
    <mergeCell ref="C485:F485"/>
    <mergeCell ref="J485:K485"/>
    <mergeCell ref="J486:K486"/>
    <mergeCell ref="C488:F488"/>
    <mergeCell ref="J488:K488"/>
    <mergeCell ref="C481:F481"/>
    <mergeCell ref="J481:K481"/>
    <mergeCell ref="C482:F482"/>
    <mergeCell ref="J482:K482"/>
    <mergeCell ref="C483:F483"/>
    <mergeCell ref="J483:K483"/>
    <mergeCell ref="C500:F500"/>
    <mergeCell ref="J500:K500"/>
    <mergeCell ref="C501:F501"/>
    <mergeCell ref="J501:K501"/>
    <mergeCell ref="C502:F502"/>
    <mergeCell ref="J502:K502"/>
    <mergeCell ref="J495:K495"/>
    <mergeCell ref="C497:F497"/>
    <mergeCell ref="J497:K497"/>
    <mergeCell ref="C498:F498"/>
    <mergeCell ref="J498:K498"/>
    <mergeCell ref="C499:F499"/>
    <mergeCell ref="J499:K499"/>
    <mergeCell ref="C492:F492"/>
    <mergeCell ref="J492:K492"/>
    <mergeCell ref="C493:F493"/>
    <mergeCell ref="J493:K493"/>
    <mergeCell ref="C494:F494"/>
    <mergeCell ref="J494:K494"/>
    <mergeCell ref="C511:F511"/>
    <mergeCell ref="J511:K511"/>
    <mergeCell ref="C512:F512"/>
    <mergeCell ref="J512:K512"/>
    <mergeCell ref="J513:K513"/>
    <mergeCell ref="C515:F515"/>
    <mergeCell ref="J515:K515"/>
    <mergeCell ref="C508:F508"/>
    <mergeCell ref="J508:K508"/>
    <mergeCell ref="C509:F509"/>
    <mergeCell ref="J509:K509"/>
    <mergeCell ref="C510:F510"/>
    <mergeCell ref="J510:K510"/>
    <mergeCell ref="C503:F503"/>
    <mergeCell ref="J503:K503"/>
    <mergeCell ref="J504:K504"/>
    <mergeCell ref="C506:F506"/>
    <mergeCell ref="J506:K506"/>
    <mergeCell ref="C507:F507"/>
    <mergeCell ref="J507:K507"/>
    <mergeCell ref="J522:K522"/>
    <mergeCell ref="C524:F524"/>
    <mergeCell ref="J524:K524"/>
    <mergeCell ref="C525:F525"/>
    <mergeCell ref="J525:K525"/>
    <mergeCell ref="C526:F526"/>
    <mergeCell ref="J526:K526"/>
    <mergeCell ref="C519:F519"/>
    <mergeCell ref="J519:K519"/>
    <mergeCell ref="C520:F520"/>
    <mergeCell ref="J520:K520"/>
    <mergeCell ref="C521:F521"/>
    <mergeCell ref="J521:K521"/>
    <mergeCell ref="C516:F516"/>
    <mergeCell ref="J516:K516"/>
    <mergeCell ref="C517:F517"/>
    <mergeCell ref="J517:K517"/>
    <mergeCell ref="C518:F518"/>
    <mergeCell ref="J518:K518"/>
    <mergeCell ref="C535:F535"/>
    <mergeCell ref="J535:K535"/>
    <mergeCell ref="C536:F536"/>
    <mergeCell ref="J536:K536"/>
    <mergeCell ref="C537:F537"/>
    <mergeCell ref="J537:K537"/>
    <mergeCell ref="C530:F530"/>
    <mergeCell ref="J530:K530"/>
    <mergeCell ref="J531:K531"/>
    <mergeCell ref="C533:F533"/>
    <mergeCell ref="J533:K533"/>
    <mergeCell ref="C534:F534"/>
    <mergeCell ref="J534:K534"/>
    <mergeCell ref="C527:F527"/>
    <mergeCell ref="J527:K527"/>
    <mergeCell ref="C528:F528"/>
    <mergeCell ref="J528:K528"/>
    <mergeCell ref="C529:F529"/>
    <mergeCell ref="J529:K529"/>
    <mergeCell ref="C544:F544"/>
    <mergeCell ref="J544:K544"/>
    <mergeCell ref="J545:K545"/>
    <mergeCell ref="C547:F547"/>
    <mergeCell ref="J547:K547"/>
    <mergeCell ref="C548:F548"/>
    <mergeCell ref="J548:K548"/>
    <mergeCell ref="C541:F541"/>
    <mergeCell ref="J541:K541"/>
    <mergeCell ref="C542:F542"/>
    <mergeCell ref="J542:K542"/>
    <mergeCell ref="C543:F543"/>
    <mergeCell ref="J543:K543"/>
    <mergeCell ref="C538:F538"/>
    <mergeCell ref="J538:K538"/>
    <mergeCell ref="C539:F539"/>
    <mergeCell ref="J539:K539"/>
    <mergeCell ref="C540:F540"/>
    <mergeCell ref="J540:K540"/>
    <mergeCell ref="C557:F557"/>
    <mergeCell ref="J557:K557"/>
    <mergeCell ref="C558:F558"/>
    <mergeCell ref="J558:K558"/>
    <mergeCell ref="C559:F559"/>
    <mergeCell ref="J559:K559"/>
    <mergeCell ref="C552:F552"/>
    <mergeCell ref="J552:K552"/>
    <mergeCell ref="C553:F553"/>
    <mergeCell ref="J553:K553"/>
    <mergeCell ref="J554:K554"/>
    <mergeCell ref="C556:F556"/>
    <mergeCell ref="J556:K556"/>
    <mergeCell ref="C549:F549"/>
    <mergeCell ref="J549:K549"/>
    <mergeCell ref="C550:F550"/>
    <mergeCell ref="J550:K550"/>
    <mergeCell ref="C551:F551"/>
    <mergeCell ref="J551:K551"/>
    <mergeCell ref="C568:F568"/>
    <mergeCell ref="J568:K568"/>
    <mergeCell ref="C569:F569"/>
    <mergeCell ref="J569:K569"/>
    <mergeCell ref="C570:F570"/>
    <mergeCell ref="J570:K570"/>
    <mergeCell ref="J563:K563"/>
    <mergeCell ref="C565:F565"/>
    <mergeCell ref="J565:K565"/>
    <mergeCell ref="C566:F566"/>
    <mergeCell ref="J566:K566"/>
    <mergeCell ref="C567:F567"/>
    <mergeCell ref="J567:K567"/>
    <mergeCell ref="C560:F560"/>
    <mergeCell ref="J560:K560"/>
    <mergeCell ref="C561:F561"/>
    <mergeCell ref="J561:K561"/>
    <mergeCell ref="C562:F562"/>
    <mergeCell ref="J562:K562"/>
    <mergeCell ref="C579:F579"/>
    <mergeCell ref="J579:K579"/>
    <mergeCell ref="C580:F580"/>
    <mergeCell ref="J580:K580"/>
    <mergeCell ref="C581:F581"/>
    <mergeCell ref="J581:K581"/>
    <mergeCell ref="C576:F576"/>
    <mergeCell ref="J576:K576"/>
    <mergeCell ref="C577:F577"/>
    <mergeCell ref="J577:K577"/>
    <mergeCell ref="C578:F578"/>
    <mergeCell ref="J578:K578"/>
    <mergeCell ref="C571:F571"/>
    <mergeCell ref="J571:K571"/>
    <mergeCell ref="J572:K572"/>
    <mergeCell ref="C574:F574"/>
    <mergeCell ref="J574:K574"/>
    <mergeCell ref="C575:F575"/>
    <mergeCell ref="J575:K575"/>
    <mergeCell ref="C590:F590"/>
    <mergeCell ref="J590:K590"/>
    <mergeCell ref="C591:F591"/>
    <mergeCell ref="J591:K591"/>
    <mergeCell ref="C592:F592"/>
    <mergeCell ref="J592:K592"/>
    <mergeCell ref="C587:F587"/>
    <mergeCell ref="J587:K587"/>
    <mergeCell ref="C588:F588"/>
    <mergeCell ref="J588:K588"/>
    <mergeCell ref="C589:F589"/>
    <mergeCell ref="J589:K589"/>
    <mergeCell ref="J582:K582"/>
    <mergeCell ref="C584:F584"/>
    <mergeCell ref="J584:K584"/>
    <mergeCell ref="C585:F585"/>
    <mergeCell ref="J585:K585"/>
    <mergeCell ref="C586:F586"/>
    <mergeCell ref="J586:K586"/>
    <mergeCell ref="C601:F601"/>
    <mergeCell ref="J601:K601"/>
    <mergeCell ref="C602:F602"/>
    <mergeCell ref="J602:K602"/>
    <mergeCell ref="C603:F603"/>
    <mergeCell ref="J603:K603"/>
    <mergeCell ref="C598:F598"/>
    <mergeCell ref="J598:K598"/>
    <mergeCell ref="C599:F599"/>
    <mergeCell ref="J599:K599"/>
    <mergeCell ref="C600:F600"/>
    <mergeCell ref="J600:K600"/>
    <mergeCell ref="C593:F593"/>
    <mergeCell ref="J593:K593"/>
    <mergeCell ref="J594:K594"/>
    <mergeCell ref="C596:F596"/>
    <mergeCell ref="J596:K596"/>
    <mergeCell ref="C597:F597"/>
    <mergeCell ref="J597:K597"/>
    <mergeCell ref="C612:F612"/>
    <mergeCell ref="J612:K612"/>
    <mergeCell ref="C613:F613"/>
    <mergeCell ref="J613:K613"/>
    <mergeCell ref="C614:F614"/>
    <mergeCell ref="J614:K614"/>
    <mergeCell ref="C609:F609"/>
    <mergeCell ref="J609:K609"/>
    <mergeCell ref="C610:F610"/>
    <mergeCell ref="J610:K610"/>
    <mergeCell ref="C611:F611"/>
    <mergeCell ref="J611:K611"/>
    <mergeCell ref="C604:F604"/>
    <mergeCell ref="J604:K604"/>
    <mergeCell ref="C605:F605"/>
    <mergeCell ref="J605:K605"/>
    <mergeCell ref="J606:K606"/>
    <mergeCell ref="C608:F608"/>
    <mergeCell ref="J608:K608"/>
    <mergeCell ref="C623:F623"/>
    <mergeCell ref="J623:K623"/>
    <mergeCell ref="C624:F624"/>
    <mergeCell ref="J624:K624"/>
    <mergeCell ref="C625:F625"/>
    <mergeCell ref="J625:K625"/>
    <mergeCell ref="J618:K618"/>
    <mergeCell ref="C620:F620"/>
    <mergeCell ref="J620:K620"/>
    <mergeCell ref="C621:F621"/>
    <mergeCell ref="J621:K621"/>
    <mergeCell ref="C622:F622"/>
    <mergeCell ref="J622:K622"/>
    <mergeCell ref="C615:F615"/>
    <mergeCell ref="J615:K615"/>
    <mergeCell ref="C616:F616"/>
    <mergeCell ref="J616:K616"/>
    <mergeCell ref="C617:F617"/>
    <mergeCell ref="J617:K617"/>
    <mergeCell ref="C634:F634"/>
    <mergeCell ref="J634:K634"/>
    <mergeCell ref="C635:F635"/>
    <mergeCell ref="J635:K635"/>
    <mergeCell ref="C636:F636"/>
    <mergeCell ref="J636:K636"/>
    <mergeCell ref="J629:K629"/>
    <mergeCell ref="C631:F631"/>
    <mergeCell ref="J631:K631"/>
    <mergeCell ref="C632:F632"/>
    <mergeCell ref="J632:K632"/>
    <mergeCell ref="C633:F633"/>
    <mergeCell ref="J633:K633"/>
    <mergeCell ref="C626:F626"/>
    <mergeCell ref="J626:K626"/>
    <mergeCell ref="C627:F627"/>
    <mergeCell ref="J627:K627"/>
    <mergeCell ref="C628:F628"/>
    <mergeCell ref="J628:K628"/>
    <mergeCell ref="J645:K645"/>
    <mergeCell ref="C647:F647"/>
    <mergeCell ref="J647:K647"/>
    <mergeCell ref="C648:F648"/>
    <mergeCell ref="J648:K648"/>
    <mergeCell ref="C649:F649"/>
    <mergeCell ref="J649:K649"/>
    <mergeCell ref="C642:F642"/>
    <mergeCell ref="J642:K642"/>
    <mergeCell ref="C643:F643"/>
    <mergeCell ref="J643:K643"/>
    <mergeCell ref="C644:F644"/>
    <mergeCell ref="J644:K644"/>
    <mergeCell ref="C637:F637"/>
    <mergeCell ref="J637:K637"/>
    <mergeCell ref="J638:K638"/>
    <mergeCell ref="C640:F640"/>
    <mergeCell ref="J640:K640"/>
    <mergeCell ref="C641:F641"/>
    <mergeCell ref="J641:K641"/>
    <mergeCell ref="C656:F656"/>
    <mergeCell ref="J656:K656"/>
    <mergeCell ref="J657:K657"/>
    <mergeCell ref="C659:F659"/>
    <mergeCell ref="J659:K659"/>
    <mergeCell ref="C660:F660"/>
    <mergeCell ref="J660:K660"/>
    <mergeCell ref="C653:F653"/>
    <mergeCell ref="J653:K653"/>
    <mergeCell ref="C654:F654"/>
    <mergeCell ref="J654:K654"/>
    <mergeCell ref="C655:F655"/>
    <mergeCell ref="J655:K655"/>
    <mergeCell ref="C650:F650"/>
    <mergeCell ref="J650:K650"/>
    <mergeCell ref="C651:F651"/>
    <mergeCell ref="J651:K651"/>
    <mergeCell ref="C652:F652"/>
    <mergeCell ref="J652:K652"/>
    <mergeCell ref="C669:F669"/>
    <mergeCell ref="J669:K669"/>
    <mergeCell ref="C670:F670"/>
    <mergeCell ref="J670:K670"/>
    <mergeCell ref="C671:F671"/>
    <mergeCell ref="J671:K671"/>
    <mergeCell ref="C664:F664"/>
    <mergeCell ref="J664:K664"/>
    <mergeCell ref="C665:F665"/>
    <mergeCell ref="J665:K665"/>
    <mergeCell ref="J666:K666"/>
    <mergeCell ref="C668:F668"/>
    <mergeCell ref="J668:K668"/>
    <mergeCell ref="C661:F661"/>
    <mergeCell ref="J661:K661"/>
    <mergeCell ref="C662:F662"/>
    <mergeCell ref="J662:K662"/>
    <mergeCell ref="C663:F663"/>
    <mergeCell ref="J663:K663"/>
    <mergeCell ref="C680:F680"/>
    <mergeCell ref="J680:K680"/>
    <mergeCell ref="C681:F681"/>
    <mergeCell ref="J681:K681"/>
    <mergeCell ref="C682:F682"/>
    <mergeCell ref="J682:K682"/>
    <mergeCell ref="C677:F677"/>
    <mergeCell ref="J677:K677"/>
    <mergeCell ref="C678:F678"/>
    <mergeCell ref="J678:K678"/>
    <mergeCell ref="C679:F679"/>
    <mergeCell ref="J679:K679"/>
    <mergeCell ref="C672:F672"/>
    <mergeCell ref="J672:K672"/>
    <mergeCell ref="C673:F673"/>
    <mergeCell ref="J673:K673"/>
    <mergeCell ref="J674:K674"/>
    <mergeCell ref="C676:F676"/>
    <mergeCell ref="J676:K676"/>
    <mergeCell ref="C691:F691"/>
    <mergeCell ref="J691:K691"/>
    <mergeCell ref="C692:F692"/>
    <mergeCell ref="J692:K692"/>
    <mergeCell ref="C693:F693"/>
    <mergeCell ref="J693:K693"/>
    <mergeCell ref="J686:K686"/>
    <mergeCell ref="C688:F688"/>
    <mergeCell ref="J688:K688"/>
    <mergeCell ref="C689:F689"/>
    <mergeCell ref="J689:K689"/>
    <mergeCell ref="C690:F690"/>
    <mergeCell ref="J690:K690"/>
    <mergeCell ref="C683:F683"/>
    <mergeCell ref="J683:K683"/>
    <mergeCell ref="C684:F684"/>
    <mergeCell ref="J684:K684"/>
    <mergeCell ref="C685:F685"/>
    <mergeCell ref="J685:K685"/>
    <mergeCell ref="C702:F702"/>
    <mergeCell ref="J702:K702"/>
    <mergeCell ref="C703:F703"/>
    <mergeCell ref="J703:K703"/>
    <mergeCell ref="J704:K704"/>
    <mergeCell ref="C706:F706"/>
    <mergeCell ref="J706:K706"/>
    <mergeCell ref="C699:F699"/>
    <mergeCell ref="J699:K699"/>
    <mergeCell ref="C700:F700"/>
    <mergeCell ref="J700:K700"/>
    <mergeCell ref="C701:F701"/>
    <mergeCell ref="J701:K701"/>
    <mergeCell ref="C694:F694"/>
    <mergeCell ref="J694:K694"/>
    <mergeCell ref="J695:K695"/>
    <mergeCell ref="C697:F697"/>
    <mergeCell ref="J697:K697"/>
    <mergeCell ref="C698:F698"/>
    <mergeCell ref="J698:K698"/>
    <mergeCell ref="J713:K713"/>
    <mergeCell ref="C715:F715"/>
    <mergeCell ref="J715:K715"/>
    <mergeCell ref="C716:F716"/>
    <mergeCell ref="J716:K716"/>
    <mergeCell ref="C717:F717"/>
    <mergeCell ref="J717:K717"/>
    <mergeCell ref="C710:F710"/>
    <mergeCell ref="J710:K710"/>
    <mergeCell ref="C711:F711"/>
    <mergeCell ref="J711:K711"/>
    <mergeCell ref="C712:F712"/>
    <mergeCell ref="J712:K712"/>
    <mergeCell ref="C707:F707"/>
    <mergeCell ref="J707:K707"/>
    <mergeCell ref="C708:F708"/>
    <mergeCell ref="J708:K708"/>
    <mergeCell ref="C709:F709"/>
    <mergeCell ref="J709:K709"/>
    <mergeCell ref="C724:F724"/>
    <mergeCell ref="J724:K724"/>
    <mergeCell ref="J725:K725"/>
    <mergeCell ref="C727:F727"/>
    <mergeCell ref="J727:K727"/>
    <mergeCell ref="C728:F728"/>
    <mergeCell ref="J728:K728"/>
    <mergeCell ref="C721:F721"/>
    <mergeCell ref="J721:K721"/>
    <mergeCell ref="C722:F722"/>
    <mergeCell ref="J722:K722"/>
    <mergeCell ref="C723:F723"/>
    <mergeCell ref="J723:K723"/>
    <mergeCell ref="C718:F718"/>
    <mergeCell ref="J718:K718"/>
    <mergeCell ref="C719:F719"/>
    <mergeCell ref="J719:K719"/>
    <mergeCell ref="C720:F720"/>
    <mergeCell ref="J720:K720"/>
    <mergeCell ref="C735:F735"/>
    <mergeCell ref="J735:K735"/>
    <mergeCell ref="C736:F736"/>
    <mergeCell ref="J736:K736"/>
    <mergeCell ref="J737:K737"/>
    <mergeCell ref="C739:F739"/>
    <mergeCell ref="J739:K739"/>
    <mergeCell ref="C732:F732"/>
    <mergeCell ref="J732:K732"/>
    <mergeCell ref="C733:F733"/>
    <mergeCell ref="J733:K733"/>
    <mergeCell ref="C734:F734"/>
    <mergeCell ref="J734:K734"/>
    <mergeCell ref="C729:F729"/>
    <mergeCell ref="J729:K729"/>
    <mergeCell ref="C730:F730"/>
    <mergeCell ref="J730:K730"/>
    <mergeCell ref="C731:F731"/>
    <mergeCell ref="J731:K731"/>
    <mergeCell ref="C746:F746"/>
    <mergeCell ref="J746:K746"/>
    <mergeCell ref="C747:F747"/>
    <mergeCell ref="J747:K747"/>
    <mergeCell ref="C748:F748"/>
    <mergeCell ref="J748:K748"/>
    <mergeCell ref="C743:F743"/>
    <mergeCell ref="J743:K743"/>
    <mergeCell ref="C744:F744"/>
    <mergeCell ref="J744:K744"/>
    <mergeCell ref="C745:F745"/>
    <mergeCell ref="J745:K745"/>
    <mergeCell ref="C740:F740"/>
    <mergeCell ref="J740:K740"/>
    <mergeCell ref="C741:F741"/>
    <mergeCell ref="J741:K741"/>
    <mergeCell ref="C742:F742"/>
    <mergeCell ref="J742:K742"/>
    <mergeCell ref="C755:F755"/>
    <mergeCell ref="J755:K755"/>
    <mergeCell ref="C756:F756"/>
    <mergeCell ref="J756:K756"/>
    <mergeCell ref="C757:F757"/>
    <mergeCell ref="J757:K757"/>
    <mergeCell ref="C752:F752"/>
    <mergeCell ref="J752:K752"/>
    <mergeCell ref="C753:F753"/>
    <mergeCell ref="J753:K753"/>
    <mergeCell ref="C754:F754"/>
    <mergeCell ref="J754:K754"/>
    <mergeCell ref="C749:F749"/>
    <mergeCell ref="J749:K749"/>
    <mergeCell ref="C750:F750"/>
    <mergeCell ref="J750:K750"/>
    <mergeCell ref="C751:F751"/>
    <mergeCell ref="J751:K751"/>
    <mergeCell ref="C764:F764"/>
    <mergeCell ref="J764:K764"/>
    <mergeCell ref="C765:F765"/>
    <mergeCell ref="J765:K765"/>
    <mergeCell ref="J766:K766"/>
    <mergeCell ref="C768:F768"/>
    <mergeCell ref="J768:K768"/>
    <mergeCell ref="C761:F761"/>
    <mergeCell ref="J761:K761"/>
    <mergeCell ref="C762:F762"/>
    <mergeCell ref="J762:K762"/>
    <mergeCell ref="C763:F763"/>
    <mergeCell ref="J763:K763"/>
    <mergeCell ref="C758:F758"/>
    <mergeCell ref="J758:K758"/>
    <mergeCell ref="C759:F759"/>
    <mergeCell ref="J759:K759"/>
    <mergeCell ref="C760:F760"/>
    <mergeCell ref="J760:K760"/>
    <mergeCell ref="C775:F775"/>
    <mergeCell ref="J775:K775"/>
    <mergeCell ref="C776:F776"/>
    <mergeCell ref="J776:K776"/>
    <mergeCell ref="J777:K777"/>
    <mergeCell ref="C779:F779"/>
    <mergeCell ref="J779:K779"/>
    <mergeCell ref="C772:F772"/>
    <mergeCell ref="J772:K772"/>
    <mergeCell ref="C773:F773"/>
    <mergeCell ref="J773:K773"/>
    <mergeCell ref="C774:F774"/>
    <mergeCell ref="J774:K774"/>
    <mergeCell ref="C769:F769"/>
    <mergeCell ref="J769:K769"/>
    <mergeCell ref="C770:F770"/>
    <mergeCell ref="J770:K770"/>
    <mergeCell ref="C771:F771"/>
    <mergeCell ref="J771:K771"/>
    <mergeCell ref="C788:F788"/>
    <mergeCell ref="J788:K788"/>
    <mergeCell ref="C789:F789"/>
    <mergeCell ref="J789:K789"/>
    <mergeCell ref="C790:F790"/>
    <mergeCell ref="J790:K790"/>
    <mergeCell ref="C783:F783"/>
    <mergeCell ref="J783:K783"/>
    <mergeCell ref="C784:F784"/>
    <mergeCell ref="J784:K784"/>
    <mergeCell ref="J785:K785"/>
    <mergeCell ref="C787:F787"/>
    <mergeCell ref="J787:K787"/>
    <mergeCell ref="C780:F780"/>
    <mergeCell ref="J780:K780"/>
    <mergeCell ref="C781:F781"/>
    <mergeCell ref="J781:K781"/>
    <mergeCell ref="C782:F782"/>
    <mergeCell ref="J782:K782"/>
    <mergeCell ref="J797:K797"/>
    <mergeCell ref="C799:F799"/>
    <mergeCell ref="J799:K799"/>
    <mergeCell ref="C800:F800"/>
    <mergeCell ref="J800:K800"/>
    <mergeCell ref="C801:F801"/>
    <mergeCell ref="J801:K801"/>
    <mergeCell ref="C794:F794"/>
    <mergeCell ref="J794:K794"/>
    <mergeCell ref="C795:F795"/>
    <mergeCell ref="J795:K795"/>
    <mergeCell ref="C796:F796"/>
    <mergeCell ref="J796:K796"/>
    <mergeCell ref="C791:F791"/>
    <mergeCell ref="J791:K791"/>
    <mergeCell ref="C792:F792"/>
    <mergeCell ref="J792:K792"/>
    <mergeCell ref="C793:F793"/>
    <mergeCell ref="J793:K793"/>
    <mergeCell ref="C808:F808"/>
    <mergeCell ref="J808:K808"/>
    <mergeCell ref="C809:F809"/>
    <mergeCell ref="J809:K809"/>
    <mergeCell ref="C810:F810"/>
    <mergeCell ref="J810:K810"/>
    <mergeCell ref="C805:F805"/>
    <mergeCell ref="J805:K805"/>
    <mergeCell ref="C806:F806"/>
    <mergeCell ref="J806:K806"/>
    <mergeCell ref="C807:F807"/>
    <mergeCell ref="J807:K807"/>
    <mergeCell ref="C802:F802"/>
    <mergeCell ref="J802:K802"/>
    <mergeCell ref="C803:F803"/>
    <mergeCell ref="J803:K803"/>
    <mergeCell ref="C804:F804"/>
    <mergeCell ref="J804:K804"/>
    <mergeCell ref="C817:F817"/>
    <mergeCell ref="J817:K817"/>
    <mergeCell ref="C818:F818"/>
    <mergeCell ref="J818:K818"/>
    <mergeCell ref="C819:F819"/>
    <mergeCell ref="J819:K819"/>
    <mergeCell ref="C814:F814"/>
    <mergeCell ref="J814:K814"/>
    <mergeCell ref="C815:F815"/>
    <mergeCell ref="J815:K815"/>
    <mergeCell ref="C816:F816"/>
    <mergeCell ref="J816:K816"/>
    <mergeCell ref="C811:F811"/>
    <mergeCell ref="J811:K811"/>
    <mergeCell ref="C812:F812"/>
    <mergeCell ref="J812:K812"/>
    <mergeCell ref="C813:F813"/>
    <mergeCell ref="J813:K813"/>
    <mergeCell ref="C828:F828"/>
    <mergeCell ref="J828:K828"/>
    <mergeCell ref="J829:K829"/>
    <mergeCell ref="C831:F831"/>
    <mergeCell ref="J831:K831"/>
    <mergeCell ref="C832:F832"/>
    <mergeCell ref="J832:K832"/>
    <mergeCell ref="C825:F825"/>
    <mergeCell ref="J825:K825"/>
    <mergeCell ref="C826:F826"/>
    <mergeCell ref="J826:K826"/>
    <mergeCell ref="C827:F827"/>
    <mergeCell ref="J827:K827"/>
    <mergeCell ref="C820:F820"/>
    <mergeCell ref="J820:K820"/>
    <mergeCell ref="J821:K821"/>
    <mergeCell ref="C823:F823"/>
    <mergeCell ref="J823:K823"/>
    <mergeCell ref="C824:F824"/>
    <mergeCell ref="J824:K824"/>
    <mergeCell ref="J839:K839"/>
    <mergeCell ref="C841:F841"/>
    <mergeCell ref="J841:K841"/>
    <mergeCell ref="C842:F842"/>
    <mergeCell ref="J842:K842"/>
    <mergeCell ref="C843:F843"/>
    <mergeCell ref="J843:K843"/>
    <mergeCell ref="C836:F836"/>
    <mergeCell ref="J836:K836"/>
    <mergeCell ref="C837:F837"/>
    <mergeCell ref="J837:K837"/>
    <mergeCell ref="C838:F838"/>
    <mergeCell ref="J838:K838"/>
    <mergeCell ref="C833:F833"/>
    <mergeCell ref="J833:K833"/>
    <mergeCell ref="C834:F834"/>
    <mergeCell ref="J834:K834"/>
    <mergeCell ref="C835:F835"/>
    <mergeCell ref="J835:K835"/>
    <mergeCell ref="C852:F852"/>
    <mergeCell ref="J852:K852"/>
    <mergeCell ref="C853:F853"/>
    <mergeCell ref="J853:K853"/>
    <mergeCell ref="C854:F854"/>
    <mergeCell ref="J854:K854"/>
    <mergeCell ref="C847:F847"/>
    <mergeCell ref="J847:K847"/>
    <mergeCell ref="C848:F848"/>
    <mergeCell ref="J848:K848"/>
    <mergeCell ref="J849:K849"/>
    <mergeCell ref="C851:F851"/>
    <mergeCell ref="J851:K851"/>
    <mergeCell ref="C844:F844"/>
    <mergeCell ref="J844:K844"/>
    <mergeCell ref="C845:F845"/>
    <mergeCell ref="J845:K845"/>
    <mergeCell ref="C846:F846"/>
    <mergeCell ref="J846:K846"/>
    <mergeCell ref="C863:F863"/>
    <mergeCell ref="J863:K863"/>
    <mergeCell ref="C864:F864"/>
    <mergeCell ref="J864:K864"/>
    <mergeCell ref="J865:K865"/>
    <mergeCell ref="C867:F867"/>
    <mergeCell ref="J867:K867"/>
    <mergeCell ref="C858:F858"/>
    <mergeCell ref="J858:K858"/>
    <mergeCell ref="J859:K859"/>
    <mergeCell ref="C861:F861"/>
    <mergeCell ref="J861:K861"/>
    <mergeCell ref="C862:F862"/>
    <mergeCell ref="J862:K862"/>
    <mergeCell ref="C855:F855"/>
    <mergeCell ref="J855:K855"/>
    <mergeCell ref="C856:F856"/>
    <mergeCell ref="J856:K856"/>
    <mergeCell ref="C857:F857"/>
    <mergeCell ref="J857:K857"/>
    <mergeCell ref="C876:F876"/>
    <mergeCell ref="J876:K876"/>
    <mergeCell ref="C877:F877"/>
    <mergeCell ref="J877:K877"/>
    <mergeCell ref="C878:F878"/>
    <mergeCell ref="J878:K878"/>
    <mergeCell ref="C871:F871"/>
    <mergeCell ref="J871:K871"/>
    <mergeCell ref="J872:K872"/>
    <mergeCell ref="C874:F874"/>
    <mergeCell ref="J874:K874"/>
    <mergeCell ref="C875:F875"/>
    <mergeCell ref="J875:K875"/>
    <mergeCell ref="C868:F868"/>
    <mergeCell ref="J868:K868"/>
    <mergeCell ref="C869:F869"/>
    <mergeCell ref="J869:K869"/>
    <mergeCell ref="C870:F870"/>
    <mergeCell ref="J870:K870"/>
    <mergeCell ref="C887:F887"/>
    <mergeCell ref="J887:K887"/>
    <mergeCell ref="C888:F888"/>
    <mergeCell ref="J888:K888"/>
    <mergeCell ref="C889:F889"/>
    <mergeCell ref="J889:K889"/>
    <mergeCell ref="J882:K882"/>
    <mergeCell ref="C884:F884"/>
    <mergeCell ref="J884:K884"/>
    <mergeCell ref="C885:F885"/>
    <mergeCell ref="J885:K885"/>
    <mergeCell ref="C886:F886"/>
    <mergeCell ref="J886:K886"/>
    <mergeCell ref="C879:F879"/>
    <mergeCell ref="J879:K879"/>
    <mergeCell ref="C880:F880"/>
    <mergeCell ref="J880:K880"/>
    <mergeCell ref="C881:F881"/>
    <mergeCell ref="J881:K881"/>
    <mergeCell ref="C898:F898"/>
    <mergeCell ref="J898:K898"/>
    <mergeCell ref="C899:F899"/>
    <mergeCell ref="J899:K899"/>
    <mergeCell ref="C900:F900"/>
    <mergeCell ref="J900:K900"/>
    <mergeCell ref="C895:F895"/>
    <mergeCell ref="J895:K895"/>
    <mergeCell ref="C896:F896"/>
    <mergeCell ref="J896:K896"/>
    <mergeCell ref="C897:F897"/>
    <mergeCell ref="J897:K897"/>
    <mergeCell ref="C890:F890"/>
    <mergeCell ref="J890:K890"/>
    <mergeCell ref="C891:F891"/>
    <mergeCell ref="J891:K891"/>
    <mergeCell ref="J892:K892"/>
    <mergeCell ref="C894:F894"/>
    <mergeCell ref="J894:K894"/>
    <mergeCell ref="C909:F909"/>
    <mergeCell ref="J909:K909"/>
    <mergeCell ref="C910:F910"/>
    <mergeCell ref="J910:K910"/>
    <mergeCell ref="C911:F911"/>
    <mergeCell ref="J911:K911"/>
    <mergeCell ref="C906:F906"/>
    <mergeCell ref="J906:K906"/>
    <mergeCell ref="C907:F907"/>
    <mergeCell ref="J907:K907"/>
    <mergeCell ref="C908:F908"/>
    <mergeCell ref="J908:K908"/>
    <mergeCell ref="C901:F901"/>
    <mergeCell ref="J901:K901"/>
    <mergeCell ref="J902:K902"/>
    <mergeCell ref="C904:F904"/>
    <mergeCell ref="J904:K904"/>
    <mergeCell ref="C905:F905"/>
    <mergeCell ref="J905:K905"/>
    <mergeCell ref="J920:K920"/>
    <mergeCell ref="C922:F922"/>
    <mergeCell ref="J922:K922"/>
    <mergeCell ref="C923:F923"/>
    <mergeCell ref="J923:K923"/>
    <mergeCell ref="C924:F924"/>
    <mergeCell ref="J924:K924"/>
    <mergeCell ref="C917:F917"/>
    <mergeCell ref="J917:K917"/>
    <mergeCell ref="C918:F918"/>
    <mergeCell ref="J918:K918"/>
    <mergeCell ref="C919:F919"/>
    <mergeCell ref="J919:K919"/>
    <mergeCell ref="J912:K912"/>
    <mergeCell ref="C914:F914"/>
    <mergeCell ref="J914:K914"/>
    <mergeCell ref="C915:F915"/>
    <mergeCell ref="J915:K915"/>
    <mergeCell ref="C916:F916"/>
    <mergeCell ref="J916:K916"/>
    <mergeCell ref="C933:F933"/>
    <mergeCell ref="J933:K933"/>
    <mergeCell ref="C934:F934"/>
    <mergeCell ref="J934:K934"/>
    <mergeCell ref="C935:F935"/>
    <mergeCell ref="J935:K935"/>
    <mergeCell ref="C928:F928"/>
    <mergeCell ref="J928:K928"/>
    <mergeCell ref="C929:F929"/>
    <mergeCell ref="J929:K929"/>
    <mergeCell ref="J930:K930"/>
    <mergeCell ref="C932:F932"/>
    <mergeCell ref="J932:K932"/>
    <mergeCell ref="C925:F925"/>
    <mergeCell ref="J925:K925"/>
    <mergeCell ref="C926:F926"/>
    <mergeCell ref="J926:K926"/>
    <mergeCell ref="C927:F927"/>
    <mergeCell ref="J927:K927"/>
    <mergeCell ref="C944:F944"/>
    <mergeCell ref="J944:K944"/>
    <mergeCell ref="C945:F945"/>
    <mergeCell ref="J945:K945"/>
    <mergeCell ref="C946:F946"/>
    <mergeCell ref="J946:K946"/>
    <mergeCell ref="C939:F939"/>
    <mergeCell ref="J939:K939"/>
    <mergeCell ref="J940:K940"/>
    <mergeCell ref="C942:F942"/>
    <mergeCell ref="J942:K942"/>
    <mergeCell ref="C943:F943"/>
    <mergeCell ref="J943:K943"/>
    <mergeCell ref="C936:F936"/>
    <mergeCell ref="J936:K936"/>
    <mergeCell ref="C937:F937"/>
    <mergeCell ref="J937:K937"/>
    <mergeCell ref="C938:F938"/>
    <mergeCell ref="J938:K938"/>
    <mergeCell ref="C955:F955"/>
    <mergeCell ref="J955:K955"/>
    <mergeCell ref="C956:F956"/>
    <mergeCell ref="J956:K956"/>
    <mergeCell ref="C957:F957"/>
    <mergeCell ref="J957:K957"/>
    <mergeCell ref="J950:K950"/>
    <mergeCell ref="C952:F952"/>
    <mergeCell ref="J952:K952"/>
    <mergeCell ref="C953:F953"/>
    <mergeCell ref="J953:K953"/>
    <mergeCell ref="C954:F954"/>
    <mergeCell ref="J954:K954"/>
    <mergeCell ref="C947:F947"/>
    <mergeCell ref="J947:K947"/>
    <mergeCell ref="C948:F948"/>
    <mergeCell ref="J948:K948"/>
    <mergeCell ref="C949:F949"/>
    <mergeCell ref="J949:K949"/>
    <mergeCell ref="C966:F966"/>
    <mergeCell ref="J966:K966"/>
    <mergeCell ref="J967:K967"/>
    <mergeCell ref="C969:F969"/>
    <mergeCell ref="J969:K969"/>
    <mergeCell ref="C970:F970"/>
    <mergeCell ref="J970:K970"/>
    <mergeCell ref="C963:F963"/>
    <mergeCell ref="J963:K963"/>
    <mergeCell ref="C964:F964"/>
    <mergeCell ref="J964:K964"/>
    <mergeCell ref="C965:F965"/>
    <mergeCell ref="J965:K965"/>
    <mergeCell ref="C958:F958"/>
    <mergeCell ref="J958:K958"/>
    <mergeCell ref="C959:F959"/>
    <mergeCell ref="J959:K959"/>
    <mergeCell ref="J960:K960"/>
    <mergeCell ref="C962:F962"/>
    <mergeCell ref="J962:K962"/>
    <mergeCell ref="J977:K977"/>
    <mergeCell ref="C979:F979"/>
    <mergeCell ref="J979:K979"/>
    <mergeCell ref="C980:F980"/>
    <mergeCell ref="J980:K980"/>
    <mergeCell ref="C981:F981"/>
    <mergeCell ref="J981:K981"/>
    <mergeCell ref="C974:F974"/>
    <mergeCell ref="J974:K974"/>
    <mergeCell ref="C975:F975"/>
    <mergeCell ref="J975:K975"/>
    <mergeCell ref="C976:F976"/>
    <mergeCell ref="J976:K976"/>
    <mergeCell ref="C971:F971"/>
    <mergeCell ref="J971:K971"/>
    <mergeCell ref="C972:F972"/>
    <mergeCell ref="J972:K972"/>
    <mergeCell ref="C973:F973"/>
    <mergeCell ref="J973:K973"/>
    <mergeCell ref="C990:F990"/>
    <mergeCell ref="J990:K990"/>
    <mergeCell ref="C991:F991"/>
    <mergeCell ref="J991:K991"/>
    <mergeCell ref="C992:F992"/>
    <mergeCell ref="J992:K992"/>
    <mergeCell ref="C985:F985"/>
    <mergeCell ref="J985:K985"/>
    <mergeCell ref="C986:F986"/>
    <mergeCell ref="J986:K986"/>
    <mergeCell ref="J987:K987"/>
    <mergeCell ref="C989:F989"/>
    <mergeCell ref="J989:K989"/>
    <mergeCell ref="C982:F982"/>
    <mergeCell ref="J982:K982"/>
    <mergeCell ref="C983:F983"/>
    <mergeCell ref="J983:K983"/>
    <mergeCell ref="C984:F984"/>
    <mergeCell ref="J984:K984"/>
    <mergeCell ref="C1001:F1001"/>
    <mergeCell ref="J1001:K1001"/>
    <mergeCell ref="C1002:F1002"/>
    <mergeCell ref="J1002:K1002"/>
    <mergeCell ref="C1003:F1003"/>
    <mergeCell ref="J1003:K1003"/>
    <mergeCell ref="C996:F996"/>
    <mergeCell ref="J996:K996"/>
    <mergeCell ref="J997:K997"/>
    <mergeCell ref="C999:F999"/>
    <mergeCell ref="J999:K999"/>
    <mergeCell ref="C1000:F1000"/>
    <mergeCell ref="J1000:K1000"/>
    <mergeCell ref="C993:F993"/>
    <mergeCell ref="J993:K993"/>
    <mergeCell ref="C994:F994"/>
    <mergeCell ref="J994:K994"/>
    <mergeCell ref="C995:F995"/>
    <mergeCell ref="J995:K995"/>
    <mergeCell ref="C1012:F1012"/>
    <mergeCell ref="J1012:K1012"/>
    <mergeCell ref="C1013:F1013"/>
    <mergeCell ref="J1013:K1013"/>
    <mergeCell ref="C1014:F1014"/>
    <mergeCell ref="J1014:K1014"/>
    <mergeCell ref="J1007:K1007"/>
    <mergeCell ref="C1009:F1009"/>
    <mergeCell ref="J1009:K1009"/>
    <mergeCell ref="C1010:F1010"/>
    <mergeCell ref="J1010:K1010"/>
    <mergeCell ref="C1011:F1011"/>
    <mergeCell ref="J1011:K1011"/>
    <mergeCell ref="C1004:F1004"/>
    <mergeCell ref="J1004:K1004"/>
    <mergeCell ref="C1005:F1005"/>
    <mergeCell ref="J1005:K1005"/>
    <mergeCell ref="C1006:F1006"/>
    <mergeCell ref="J1006:K1006"/>
    <mergeCell ref="J1023:K1023"/>
    <mergeCell ref="C1025:F1025"/>
    <mergeCell ref="J1025:K1025"/>
    <mergeCell ref="C1026:F1026"/>
    <mergeCell ref="J1026:K1026"/>
    <mergeCell ref="C1027:F1027"/>
    <mergeCell ref="J1027:K1027"/>
    <mergeCell ref="C1020:F1020"/>
    <mergeCell ref="J1020:K1020"/>
    <mergeCell ref="C1021:F1021"/>
    <mergeCell ref="J1021:K1021"/>
    <mergeCell ref="C1022:F1022"/>
    <mergeCell ref="J1022:K1022"/>
    <mergeCell ref="C1015:F1015"/>
    <mergeCell ref="J1015:K1015"/>
    <mergeCell ref="C1016:F1016"/>
    <mergeCell ref="J1016:K1016"/>
    <mergeCell ref="J1017:K1017"/>
    <mergeCell ref="C1019:F1019"/>
    <mergeCell ref="J1019:K1019"/>
    <mergeCell ref="C1036:F1036"/>
    <mergeCell ref="J1036:K1036"/>
    <mergeCell ref="C1037:F1037"/>
    <mergeCell ref="J1037:K1037"/>
    <mergeCell ref="C1038:F1038"/>
    <mergeCell ref="J1038:K1038"/>
    <mergeCell ref="J1031:K1031"/>
    <mergeCell ref="C1033:F1033"/>
    <mergeCell ref="J1033:K1033"/>
    <mergeCell ref="C1034:F1034"/>
    <mergeCell ref="J1034:K1034"/>
    <mergeCell ref="C1035:F1035"/>
    <mergeCell ref="J1035:K1035"/>
    <mergeCell ref="C1028:F1028"/>
    <mergeCell ref="J1028:K1028"/>
    <mergeCell ref="C1029:F1029"/>
    <mergeCell ref="J1029:K1029"/>
    <mergeCell ref="C1030:F1030"/>
    <mergeCell ref="J1030:K1030"/>
    <mergeCell ref="C1049:F1049"/>
    <mergeCell ref="J1049:K1049"/>
    <mergeCell ref="C1050:F1050"/>
    <mergeCell ref="J1050:K1050"/>
    <mergeCell ref="C1051:F1051"/>
    <mergeCell ref="J1051:K1051"/>
    <mergeCell ref="C1044:F1044"/>
    <mergeCell ref="J1044:K1044"/>
    <mergeCell ref="C1045:F1045"/>
    <mergeCell ref="J1045:K1045"/>
    <mergeCell ref="J1046:K1046"/>
    <mergeCell ref="C1048:F1048"/>
    <mergeCell ref="J1048:K1048"/>
    <mergeCell ref="J1039:K1039"/>
    <mergeCell ref="C1041:F1041"/>
    <mergeCell ref="J1041:K1041"/>
    <mergeCell ref="C1042:F1042"/>
    <mergeCell ref="J1042:K1042"/>
    <mergeCell ref="C1043:F1043"/>
    <mergeCell ref="J1043:K1043"/>
    <mergeCell ref="C1060:F1060"/>
    <mergeCell ref="J1060:K1060"/>
    <mergeCell ref="C1061:F1061"/>
    <mergeCell ref="J1061:K1061"/>
    <mergeCell ref="C1062:F1062"/>
    <mergeCell ref="J1062:K1062"/>
    <mergeCell ref="C1057:F1057"/>
    <mergeCell ref="J1057:K1057"/>
    <mergeCell ref="C1058:F1058"/>
    <mergeCell ref="J1058:K1058"/>
    <mergeCell ref="C1059:F1059"/>
    <mergeCell ref="J1059:K1059"/>
    <mergeCell ref="J1052:K1052"/>
    <mergeCell ref="C1054:F1054"/>
    <mergeCell ref="J1054:K1054"/>
    <mergeCell ref="C1055:F1055"/>
    <mergeCell ref="J1055:K1055"/>
    <mergeCell ref="C1056:F1056"/>
    <mergeCell ref="J1056:K1056"/>
    <mergeCell ref="C1071:F1071"/>
    <mergeCell ref="J1071:K1071"/>
    <mergeCell ref="J1072:K1072"/>
    <mergeCell ref="C1074:F1074"/>
    <mergeCell ref="J1074:K1074"/>
    <mergeCell ref="C1075:F1075"/>
    <mergeCell ref="J1075:K1075"/>
    <mergeCell ref="J1066:K1066"/>
    <mergeCell ref="C1068:F1068"/>
    <mergeCell ref="J1068:K1068"/>
    <mergeCell ref="C1069:F1069"/>
    <mergeCell ref="J1069:K1069"/>
    <mergeCell ref="C1070:F1070"/>
    <mergeCell ref="J1070:K1070"/>
    <mergeCell ref="C1063:F1063"/>
    <mergeCell ref="J1063:K1063"/>
    <mergeCell ref="C1064:F1064"/>
    <mergeCell ref="J1064:K1064"/>
    <mergeCell ref="C1065:F1065"/>
    <mergeCell ref="J1065:K1065"/>
    <mergeCell ref="C1084:F1084"/>
    <mergeCell ref="J1084:K1084"/>
    <mergeCell ref="C1085:F1085"/>
    <mergeCell ref="J1085:K1085"/>
    <mergeCell ref="C1086:F1086"/>
    <mergeCell ref="J1086:K1086"/>
    <mergeCell ref="C1081:F1081"/>
    <mergeCell ref="J1081:K1081"/>
    <mergeCell ref="C1082:F1082"/>
    <mergeCell ref="J1082:K1082"/>
    <mergeCell ref="C1083:F1083"/>
    <mergeCell ref="J1083:K1083"/>
    <mergeCell ref="C1076:F1076"/>
    <mergeCell ref="J1076:K1076"/>
    <mergeCell ref="C1077:F1077"/>
    <mergeCell ref="J1077:K1077"/>
    <mergeCell ref="J1078:K1078"/>
    <mergeCell ref="C1080:F1080"/>
    <mergeCell ref="J1080:K1080"/>
    <mergeCell ref="C1095:F1095"/>
    <mergeCell ref="J1095:K1095"/>
    <mergeCell ref="C1096:F1096"/>
    <mergeCell ref="J1096:K1096"/>
    <mergeCell ref="C1097:F1097"/>
    <mergeCell ref="J1097:K1097"/>
    <mergeCell ref="J1090:K1090"/>
    <mergeCell ref="C1092:F1092"/>
    <mergeCell ref="J1092:K1092"/>
    <mergeCell ref="C1093:F1093"/>
    <mergeCell ref="J1093:K1093"/>
    <mergeCell ref="C1094:F1094"/>
    <mergeCell ref="J1094:K1094"/>
    <mergeCell ref="C1087:F1087"/>
    <mergeCell ref="J1087:K1087"/>
    <mergeCell ref="C1088:F1088"/>
    <mergeCell ref="J1088:K1088"/>
    <mergeCell ref="C1089:F1089"/>
    <mergeCell ref="J1089:K1089"/>
    <mergeCell ref="C1106:F1106"/>
    <mergeCell ref="J1106:K1106"/>
    <mergeCell ref="C1107:F1107"/>
    <mergeCell ref="J1107:K1107"/>
    <mergeCell ref="C1108:F1108"/>
    <mergeCell ref="J1108:K1108"/>
    <mergeCell ref="C1103:F1103"/>
    <mergeCell ref="J1103:K1103"/>
    <mergeCell ref="C1104:F1104"/>
    <mergeCell ref="J1104:K1104"/>
    <mergeCell ref="C1105:F1105"/>
    <mergeCell ref="J1105:K1105"/>
    <mergeCell ref="C1098:F1098"/>
    <mergeCell ref="J1098:K1098"/>
    <mergeCell ref="C1099:F1099"/>
    <mergeCell ref="J1099:K1099"/>
    <mergeCell ref="J1100:K1100"/>
    <mergeCell ref="C1102:F1102"/>
    <mergeCell ref="J1102:K1102"/>
    <mergeCell ref="C1117:F1117"/>
    <mergeCell ref="J1117:K1117"/>
    <mergeCell ref="J1118:K1118"/>
    <mergeCell ref="C1120:F1120"/>
    <mergeCell ref="J1120:K1120"/>
    <mergeCell ref="C1121:F1121"/>
    <mergeCell ref="J1121:K1121"/>
    <mergeCell ref="C1114:F1114"/>
    <mergeCell ref="J1114:K1114"/>
    <mergeCell ref="C1115:F1115"/>
    <mergeCell ref="J1115:K1115"/>
    <mergeCell ref="C1116:F1116"/>
    <mergeCell ref="J1116:K1116"/>
    <mergeCell ref="J1109:K1109"/>
    <mergeCell ref="C1111:F1111"/>
    <mergeCell ref="J1111:K1111"/>
    <mergeCell ref="C1112:F1112"/>
    <mergeCell ref="J1112:K1112"/>
    <mergeCell ref="C1113:F1113"/>
    <mergeCell ref="J1113:K1113"/>
    <mergeCell ref="J1128:K1128"/>
    <mergeCell ref="C1130:F1130"/>
    <mergeCell ref="J1130:K1130"/>
    <mergeCell ref="C1131:F1131"/>
    <mergeCell ref="J1131:K1131"/>
    <mergeCell ref="C1132:F1132"/>
    <mergeCell ref="J1132:K1132"/>
    <mergeCell ref="C1125:F1125"/>
    <mergeCell ref="J1125:K1125"/>
    <mergeCell ref="C1126:F1126"/>
    <mergeCell ref="J1126:K1126"/>
    <mergeCell ref="C1127:F1127"/>
    <mergeCell ref="J1127:K1127"/>
    <mergeCell ref="C1122:F1122"/>
    <mergeCell ref="J1122:K1122"/>
    <mergeCell ref="C1123:F1123"/>
    <mergeCell ref="J1123:K1123"/>
    <mergeCell ref="C1124:F1124"/>
    <mergeCell ref="J1124:K1124"/>
    <mergeCell ref="C1141:F1141"/>
    <mergeCell ref="J1141:K1141"/>
    <mergeCell ref="C1142:F1142"/>
    <mergeCell ref="J1142:K1142"/>
    <mergeCell ref="C1143:F1143"/>
    <mergeCell ref="J1143:K1143"/>
    <mergeCell ref="C1136:F1136"/>
    <mergeCell ref="J1136:K1136"/>
    <mergeCell ref="J1137:K1137"/>
    <mergeCell ref="C1139:F1139"/>
    <mergeCell ref="J1139:K1139"/>
    <mergeCell ref="C1140:F1140"/>
    <mergeCell ref="J1140:K1140"/>
    <mergeCell ref="C1133:F1133"/>
    <mergeCell ref="J1133:K1133"/>
    <mergeCell ref="C1134:F1134"/>
    <mergeCell ref="J1134:K1134"/>
    <mergeCell ref="C1135:F1135"/>
    <mergeCell ref="J1135:K1135"/>
    <mergeCell ref="C1152:F1152"/>
    <mergeCell ref="J1152:K1152"/>
    <mergeCell ref="C1153:F1153"/>
    <mergeCell ref="J1153:K1153"/>
    <mergeCell ref="C1154:F1154"/>
    <mergeCell ref="J1154:K1154"/>
    <mergeCell ref="C1149:F1149"/>
    <mergeCell ref="J1149:K1149"/>
    <mergeCell ref="C1150:F1150"/>
    <mergeCell ref="J1150:K1150"/>
    <mergeCell ref="C1151:F1151"/>
    <mergeCell ref="J1151:K1151"/>
    <mergeCell ref="C1144:F1144"/>
    <mergeCell ref="J1144:K1144"/>
    <mergeCell ref="C1145:F1145"/>
    <mergeCell ref="J1145:K1145"/>
    <mergeCell ref="J1146:K1146"/>
    <mergeCell ref="C1148:F1148"/>
    <mergeCell ref="J1148:K1148"/>
    <mergeCell ref="C1163:F1163"/>
    <mergeCell ref="J1163:K1163"/>
    <mergeCell ref="J1164:K1164"/>
    <mergeCell ref="C1166:F1166"/>
    <mergeCell ref="J1166:K1166"/>
    <mergeCell ref="C1167:F1167"/>
    <mergeCell ref="J1167:K1167"/>
    <mergeCell ref="C1160:F1160"/>
    <mergeCell ref="J1160:K1160"/>
    <mergeCell ref="C1161:F1161"/>
    <mergeCell ref="J1161:K1161"/>
    <mergeCell ref="C1162:F1162"/>
    <mergeCell ref="J1162:K1162"/>
    <mergeCell ref="J1155:K1155"/>
    <mergeCell ref="C1157:F1157"/>
    <mergeCell ref="J1157:K1157"/>
    <mergeCell ref="C1158:F1158"/>
    <mergeCell ref="J1158:K1158"/>
    <mergeCell ref="C1159:F1159"/>
    <mergeCell ref="J1159:K1159"/>
    <mergeCell ref="C1176:F1176"/>
    <mergeCell ref="J1176:K1176"/>
    <mergeCell ref="C1177:F1177"/>
    <mergeCell ref="J1177:K1177"/>
    <mergeCell ref="C1178:F1178"/>
    <mergeCell ref="J1178:K1178"/>
    <mergeCell ref="C1171:F1171"/>
    <mergeCell ref="J1171:K1171"/>
    <mergeCell ref="C1172:F1172"/>
    <mergeCell ref="J1172:K1172"/>
    <mergeCell ref="J1173:K1173"/>
    <mergeCell ref="C1175:F1175"/>
    <mergeCell ref="J1175:K1175"/>
    <mergeCell ref="C1168:F1168"/>
    <mergeCell ref="J1168:K1168"/>
    <mergeCell ref="C1169:F1169"/>
    <mergeCell ref="J1169:K1169"/>
    <mergeCell ref="C1170:F1170"/>
    <mergeCell ref="J1170:K1170"/>
    <mergeCell ref="C1187:F1187"/>
    <mergeCell ref="J1187:K1187"/>
    <mergeCell ref="C1188:F1188"/>
    <mergeCell ref="J1188:K1188"/>
    <mergeCell ref="C1189:F1189"/>
    <mergeCell ref="J1189:K1189"/>
    <mergeCell ref="C1182:F1182"/>
    <mergeCell ref="J1182:K1182"/>
    <mergeCell ref="J1183:K1183"/>
    <mergeCell ref="C1185:F1185"/>
    <mergeCell ref="J1185:K1185"/>
    <mergeCell ref="C1186:F1186"/>
    <mergeCell ref="J1186:K1186"/>
    <mergeCell ref="C1179:F1179"/>
    <mergeCell ref="J1179:K1179"/>
    <mergeCell ref="C1180:F1180"/>
    <mergeCell ref="J1180:K1180"/>
    <mergeCell ref="C1181:F1181"/>
    <mergeCell ref="J1181:K1181"/>
    <mergeCell ref="C1198:F1198"/>
    <mergeCell ref="J1198:K1198"/>
    <mergeCell ref="C1199:F1199"/>
    <mergeCell ref="J1199:K1199"/>
    <mergeCell ref="C1200:F1200"/>
    <mergeCell ref="J1200:K1200"/>
    <mergeCell ref="C1195:F1195"/>
    <mergeCell ref="J1195:K1195"/>
    <mergeCell ref="C1196:F1196"/>
    <mergeCell ref="J1196:K1196"/>
    <mergeCell ref="C1197:F1197"/>
    <mergeCell ref="J1197:K1197"/>
    <mergeCell ref="C1190:F1190"/>
    <mergeCell ref="J1190:K1190"/>
    <mergeCell ref="C1191:F1191"/>
    <mergeCell ref="J1191:K1191"/>
    <mergeCell ref="J1192:K1192"/>
    <mergeCell ref="C1194:F1194"/>
    <mergeCell ref="J1194:K1194"/>
    <mergeCell ref="C1209:F1209"/>
    <mergeCell ref="J1209:K1209"/>
    <mergeCell ref="J1210:K1210"/>
    <mergeCell ref="C1212:F1212"/>
    <mergeCell ref="J1212:K1212"/>
    <mergeCell ref="C1213:F1213"/>
    <mergeCell ref="J1213:K1213"/>
    <mergeCell ref="C1206:F1206"/>
    <mergeCell ref="J1206:K1206"/>
    <mergeCell ref="C1207:F1207"/>
    <mergeCell ref="J1207:K1207"/>
    <mergeCell ref="C1208:F1208"/>
    <mergeCell ref="J1208:K1208"/>
    <mergeCell ref="J1201:K1201"/>
    <mergeCell ref="C1203:F1203"/>
    <mergeCell ref="J1203:K1203"/>
    <mergeCell ref="C1204:F1204"/>
    <mergeCell ref="J1204:K1204"/>
    <mergeCell ref="C1205:F1205"/>
    <mergeCell ref="J1205:K1205"/>
    <mergeCell ref="C1222:F1222"/>
    <mergeCell ref="J1222:K1222"/>
    <mergeCell ref="C1223:F1223"/>
    <mergeCell ref="J1223:K1223"/>
    <mergeCell ref="C1224:F1224"/>
    <mergeCell ref="J1224:K1224"/>
    <mergeCell ref="C1217:F1217"/>
    <mergeCell ref="J1217:K1217"/>
    <mergeCell ref="C1218:F1218"/>
    <mergeCell ref="J1218:K1218"/>
    <mergeCell ref="J1219:K1219"/>
    <mergeCell ref="C1221:F1221"/>
    <mergeCell ref="J1221:K1221"/>
    <mergeCell ref="C1214:F1214"/>
    <mergeCell ref="J1214:K1214"/>
    <mergeCell ref="C1215:F1215"/>
    <mergeCell ref="J1215:K1215"/>
    <mergeCell ref="C1216:F1216"/>
    <mergeCell ref="J1216:K1216"/>
    <mergeCell ref="C1233:F1233"/>
    <mergeCell ref="J1233:K1233"/>
    <mergeCell ref="C1234:F1234"/>
    <mergeCell ref="J1234:K1234"/>
    <mergeCell ref="C1235:F1235"/>
    <mergeCell ref="J1235:K1235"/>
    <mergeCell ref="C1228:F1228"/>
    <mergeCell ref="J1228:K1228"/>
    <mergeCell ref="J1229:K1229"/>
    <mergeCell ref="C1231:F1231"/>
    <mergeCell ref="J1231:K1231"/>
    <mergeCell ref="C1232:F1232"/>
    <mergeCell ref="J1232:K1232"/>
    <mergeCell ref="C1225:F1225"/>
    <mergeCell ref="J1225:K1225"/>
    <mergeCell ref="C1226:F1226"/>
    <mergeCell ref="J1226:K1226"/>
    <mergeCell ref="C1227:F1227"/>
    <mergeCell ref="J1227:K1227"/>
    <mergeCell ref="C1244:F1244"/>
    <mergeCell ref="J1244:K1244"/>
    <mergeCell ref="C1245:F1245"/>
    <mergeCell ref="J1245:K1245"/>
    <mergeCell ref="C1246:F1246"/>
    <mergeCell ref="J1246:K1246"/>
    <mergeCell ref="C1241:F1241"/>
    <mergeCell ref="J1241:K1241"/>
    <mergeCell ref="C1242:F1242"/>
    <mergeCell ref="J1242:K1242"/>
    <mergeCell ref="C1243:F1243"/>
    <mergeCell ref="J1243:K1243"/>
    <mergeCell ref="C1236:F1236"/>
    <mergeCell ref="J1236:K1236"/>
    <mergeCell ref="C1237:F1237"/>
    <mergeCell ref="J1237:K1237"/>
    <mergeCell ref="J1238:K1238"/>
    <mergeCell ref="C1240:F1240"/>
    <mergeCell ref="J1240:K1240"/>
    <mergeCell ref="C1255:F1255"/>
    <mergeCell ref="J1255:K1255"/>
    <mergeCell ref="J1256:K1256"/>
    <mergeCell ref="C1258:F1258"/>
    <mergeCell ref="J1258:K1258"/>
    <mergeCell ref="C1259:F1259"/>
    <mergeCell ref="J1259:K1259"/>
    <mergeCell ref="C1252:F1252"/>
    <mergeCell ref="J1252:K1252"/>
    <mergeCell ref="C1253:F1253"/>
    <mergeCell ref="J1253:K1253"/>
    <mergeCell ref="C1254:F1254"/>
    <mergeCell ref="J1254:K1254"/>
    <mergeCell ref="J1247:K1247"/>
    <mergeCell ref="C1249:F1249"/>
    <mergeCell ref="J1249:K1249"/>
    <mergeCell ref="C1250:F1250"/>
    <mergeCell ref="J1250:K1250"/>
    <mergeCell ref="C1251:F1251"/>
    <mergeCell ref="J1251:K1251"/>
    <mergeCell ref="C1268:F1268"/>
    <mergeCell ref="J1268:K1268"/>
    <mergeCell ref="C1269:F1269"/>
    <mergeCell ref="J1269:K1269"/>
    <mergeCell ref="J1270:K1270"/>
    <mergeCell ref="C1272:F1272"/>
    <mergeCell ref="J1272:K1272"/>
    <mergeCell ref="C1265:F1265"/>
    <mergeCell ref="J1265:K1265"/>
    <mergeCell ref="C1266:F1266"/>
    <mergeCell ref="J1266:K1266"/>
    <mergeCell ref="C1267:F1267"/>
    <mergeCell ref="J1267:K1267"/>
    <mergeCell ref="C1260:F1260"/>
    <mergeCell ref="J1260:K1260"/>
    <mergeCell ref="C1261:F1261"/>
    <mergeCell ref="J1261:K1261"/>
    <mergeCell ref="J1262:K1262"/>
    <mergeCell ref="C1264:F1264"/>
    <mergeCell ref="J1264:K1264"/>
    <mergeCell ref="C1281:F1281"/>
    <mergeCell ref="J1281:K1281"/>
    <mergeCell ref="C1282:F1282"/>
    <mergeCell ref="J1282:K1282"/>
    <mergeCell ref="C1283:F1283"/>
    <mergeCell ref="J1283:K1283"/>
    <mergeCell ref="C1276:F1276"/>
    <mergeCell ref="J1276:K1276"/>
    <mergeCell ref="C1277:F1277"/>
    <mergeCell ref="J1277:K1277"/>
    <mergeCell ref="J1278:K1278"/>
    <mergeCell ref="C1280:F1280"/>
    <mergeCell ref="J1280:K1280"/>
    <mergeCell ref="C1273:F1273"/>
    <mergeCell ref="J1273:K1273"/>
    <mergeCell ref="C1274:F1274"/>
    <mergeCell ref="J1274:K1274"/>
    <mergeCell ref="C1275:F1275"/>
    <mergeCell ref="J1275:K1275"/>
    <mergeCell ref="C1292:F1292"/>
    <mergeCell ref="J1292:K1292"/>
    <mergeCell ref="C1293:F1293"/>
    <mergeCell ref="J1293:K1293"/>
    <mergeCell ref="J1294:K1294"/>
    <mergeCell ref="C1296:F1296"/>
    <mergeCell ref="J1296:K1296"/>
    <mergeCell ref="C1289:F1289"/>
    <mergeCell ref="J1289:K1289"/>
    <mergeCell ref="C1290:F1290"/>
    <mergeCell ref="J1290:K1290"/>
    <mergeCell ref="C1291:F1291"/>
    <mergeCell ref="J1291:K1291"/>
    <mergeCell ref="C1284:F1284"/>
    <mergeCell ref="J1284:K1284"/>
    <mergeCell ref="J1285:K1285"/>
    <mergeCell ref="C1287:F1287"/>
    <mergeCell ref="J1287:K1287"/>
    <mergeCell ref="C1288:F1288"/>
    <mergeCell ref="J1288:K1288"/>
    <mergeCell ref="J1305:K1305"/>
    <mergeCell ref="C1307:F1307"/>
    <mergeCell ref="J1307:K1307"/>
    <mergeCell ref="C1308:F1308"/>
    <mergeCell ref="J1308:K1308"/>
    <mergeCell ref="C1309:F1309"/>
    <mergeCell ref="J1309:K1309"/>
    <mergeCell ref="C1302:F1302"/>
    <mergeCell ref="J1302:K1302"/>
    <mergeCell ref="C1303:F1303"/>
    <mergeCell ref="J1303:K1303"/>
    <mergeCell ref="C1304:F1304"/>
    <mergeCell ref="J1304:K1304"/>
    <mergeCell ref="C1297:F1297"/>
    <mergeCell ref="J1297:K1297"/>
    <mergeCell ref="C1298:F1298"/>
    <mergeCell ref="J1298:K1298"/>
    <mergeCell ref="J1299:K1299"/>
    <mergeCell ref="C1301:F1301"/>
    <mergeCell ref="J1301:K1301"/>
    <mergeCell ref="C1320:F1320"/>
    <mergeCell ref="J1320:K1320"/>
    <mergeCell ref="C1321:F1321"/>
    <mergeCell ref="J1321:K1321"/>
    <mergeCell ref="C1322:F1322"/>
    <mergeCell ref="J1322:K1322"/>
    <mergeCell ref="C1315:F1315"/>
    <mergeCell ref="J1315:K1315"/>
    <mergeCell ref="J1316:K1316"/>
    <mergeCell ref="C1318:F1318"/>
    <mergeCell ref="J1318:K1318"/>
    <mergeCell ref="C1319:F1319"/>
    <mergeCell ref="J1319:K1319"/>
    <mergeCell ref="C1310:F1310"/>
    <mergeCell ref="J1310:K1310"/>
    <mergeCell ref="J1311:K1311"/>
    <mergeCell ref="C1313:F1313"/>
    <mergeCell ref="J1313:K1313"/>
    <mergeCell ref="C1314:F1314"/>
    <mergeCell ref="J1314:K1314"/>
    <mergeCell ref="C1331:F1331"/>
    <mergeCell ref="J1331:K1331"/>
    <mergeCell ref="C1332:F1332"/>
    <mergeCell ref="J1332:K1332"/>
    <mergeCell ref="C1333:F1333"/>
    <mergeCell ref="J1333:K1333"/>
    <mergeCell ref="C1326:F1326"/>
    <mergeCell ref="J1326:K1326"/>
    <mergeCell ref="C1327:F1327"/>
    <mergeCell ref="J1327:K1327"/>
    <mergeCell ref="J1328:K1328"/>
    <mergeCell ref="C1330:F1330"/>
    <mergeCell ref="J1330:K1330"/>
    <mergeCell ref="C1323:F1323"/>
    <mergeCell ref="J1323:K1323"/>
    <mergeCell ref="C1324:F1324"/>
    <mergeCell ref="J1324:K1324"/>
    <mergeCell ref="C1325:F1325"/>
    <mergeCell ref="J1325:K1325"/>
    <mergeCell ref="C1340:F1340"/>
    <mergeCell ref="J1340:K1340"/>
    <mergeCell ref="C1341:F1341"/>
    <mergeCell ref="J1341:K1341"/>
    <mergeCell ref="C1342:F1342"/>
    <mergeCell ref="J1342:K1342"/>
    <mergeCell ref="C1337:F1337"/>
    <mergeCell ref="J1337:K1337"/>
    <mergeCell ref="C1338:F1338"/>
    <mergeCell ref="J1338:K1338"/>
    <mergeCell ref="C1339:F1339"/>
    <mergeCell ref="J1339:K1339"/>
    <mergeCell ref="C1334:F1334"/>
    <mergeCell ref="J1334:K1334"/>
    <mergeCell ref="C1335:F1335"/>
    <mergeCell ref="J1335:K1335"/>
    <mergeCell ref="C1336:F1336"/>
    <mergeCell ref="J1336:K1336"/>
    <mergeCell ref="C1349:F1349"/>
    <mergeCell ref="J1349:K1349"/>
    <mergeCell ref="J1350:K1350"/>
    <mergeCell ref="C1352:F1352"/>
    <mergeCell ref="J1352:K1352"/>
    <mergeCell ref="C1353:F1353"/>
    <mergeCell ref="J1353:K1353"/>
    <mergeCell ref="C1346:F1346"/>
    <mergeCell ref="J1346:K1346"/>
    <mergeCell ref="C1347:F1347"/>
    <mergeCell ref="J1347:K1347"/>
    <mergeCell ref="C1348:F1348"/>
    <mergeCell ref="J1348:K1348"/>
    <mergeCell ref="C1343:F1343"/>
    <mergeCell ref="J1343:K1343"/>
    <mergeCell ref="C1344:F1344"/>
    <mergeCell ref="J1344:K1344"/>
    <mergeCell ref="C1345:F1345"/>
    <mergeCell ref="J1345:K1345"/>
    <mergeCell ref="C1360:F1360"/>
    <mergeCell ref="J1360:K1360"/>
    <mergeCell ref="J1361:K1361"/>
    <mergeCell ref="C1363:F1363"/>
    <mergeCell ref="J1363:K1363"/>
    <mergeCell ref="C1364:F1364"/>
    <mergeCell ref="J1364:K1364"/>
    <mergeCell ref="C1357:F1357"/>
    <mergeCell ref="J1357:K1357"/>
    <mergeCell ref="C1358:F1358"/>
    <mergeCell ref="J1358:K1358"/>
    <mergeCell ref="C1359:F1359"/>
    <mergeCell ref="J1359:K1359"/>
    <mergeCell ref="C1354:F1354"/>
    <mergeCell ref="J1354:K1354"/>
    <mergeCell ref="C1355:F1355"/>
    <mergeCell ref="J1355:K1355"/>
    <mergeCell ref="C1356:F1356"/>
    <mergeCell ref="J1356:K1356"/>
    <mergeCell ref="C1371:F1371"/>
    <mergeCell ref="J1371:K1371"/>
    <mergeCell ref="C1372:F1372"/>
    <mergeCell ref="J1372:K1372"/>
    <mergeCell ref="J1373:K1373"/>
    <mergeCell ref="C1375:F1375"/>
    <mergeCell ref="J1375:K1375"/>
    <mergeCell ref="C1368:F1368"/>
    <mergeCell ref="J1368:K1368"/>
    <mergeCell ref="C1369:F1369"/>
    <mergeCell ref="J1369:K1369"/>
    <mergeCell ref="C1370:F1370"/>
    <mergeCell ref="J1370:K1370"/>
    <mergeCell ref="C1365:F1365"/>
    <mergeCell ref="J1365:K1365"/>
    <mergeCell ref="C1366:F1366"/>
    <mergeCell ref="J1366:K1366"/>
    <mergeCell ref="C1367:F1367"/>
    <mergeCell ref="J1367:K1367"/>
    <mergeCell ref="C1382:F1382"/>
    <mergeCell ref="J1382:K1382"/>
    <mergeCell ref="C1383:F1383"/>
    <mergeCell ref="J1383:K1383"/>
    <mergeCell ref="C1384:F1384"/>
    <mergeCell ref="J1384:K1384"/>
    <mergeCell ref="C1379:F1379"/>
    <mergeCell ref="J1379:K1379"/>
    <mergeCell ref="C1380:F1380"/>
    <mergeCell ref="J1380:K1380"/>
    <mergeCell ref="C1381:F1381"/>
    <mergeCell ref="J1381:K1381"/>
    <mergeCell ref="C1376:F1376"/>
    <mergeCell ref="J1376:K1376"/>
    <mergeCell ref="C1377:F1377"/>
    <mergeCell ref="J1377:K1377"/>
    <mergeCell ref="C1378:F1378"/>
    <mergeCell ref="J1378:K1378"/>
    <mergeCell ref="C1395:F1395"/>
    <mergeCell ref="J1395:K1395"/>
    <mergeCell ref="C1396:F1396"/>
    <mergeCell ref="J1396:K1396"/>
    <mergeCell ref="C1397:F1397"/>
    <mergeCell ref="J1397:K1397"/>
    <mergeCell ref="C1390:F1390"/>
    <mergeCell ref="J1390:K1390"/>
    <mergeCell ref="C1391:F1391"/>
    <mergeCell ref="J1391:K1391"/>
    <mergeCell ref="J1392:K1392"/>
    <mergeCell ref="C1394:F1394"/>
    <mergeCell ref="J1394:K1394"/>
    <mergeCell ref="J1385:K1385"/>
    <mergeCell ref="C1387:F1387"/>
    <mergeCell ref="J1387:K1387"/>
    <mergeCell ref="C1388:F1388"/>
    <mergeCell ref="J1388:K1388"/>
    <mergeCell ref="C1389:F1389"/>
    <mergeCell ref="J1389:K1389"/>
    <mergeCell ref="J1406:K1406"/>
    <mergeCell ref="C1408:F1408"/>
    <mergeCell ref="J1408:K1408"/>
    <mergeCell ref="C1409:F1409"/>
    <mergeCell ref="J1409:K1409"/>
    <mergeCell ref="C1410:F1410"/>
    <mergeCell ref="J1410:K1410"/>
    <mergeCell ref="C1403:F1403"/>
    <mergeCell ref="J1403:K1403"/>
    <mergeCell ref="C1404:F1404"/>
    <mergeCell ref="J1404:K1404"/>
    <mergeCell ref="C1405:F1405"/>
    <mergeCell ref="J1405:K1405"/>
    <mergeCell ref="C1398:F1398"/>
    <mergeCell ref="J1398:K1398"/>
    <mergeCell ref="J1399:K1399"/>
    <mergeCell ref="C1401:F1401"/>
    <mergeCell ref="J1401:K1401"/>
    <mergeCell ref="C1402:F1402"/>
    <mergeCell ref="J1402:K1402"/>
    <mergeCell ref="C1419:F1419"/>
    <mergeCell ref="J1419:K1419"/>
    <mergeCell ref="J1420:K1420"/>
    <mergeCell ref="C1422:F1422"/>
    <mergeCell ref="J1422:K1422"/>
    <mergeCell ref="C1423:F1423"/>
    <mergeCell ref="J1423:K1423"/>
    <mergeCell ref="C1416:F1416"/>
    <mergeCell ref="J1416:K1416"/>
    <mergeCell ref="C1417:F1417"/>
    <mergeCell ref="J1417:K1417"/>
    <mergeCell ref="C1418:F1418"/>
    <mergeCell ref="J1418:K1418"/>
    <mergeCell ref="C1411:F1411"/>
    <mergeCell ref="J1411:K1411"/>
    <mergeCell ref="C1412:F1412"/>
    <mergeCell ref="J1412:K1412"/>
    <mergeCell ref="J1413:K1413"/>
    <mergeCell ref="C1415:F1415"/>
    <mergeCell ref="J1415:K1415"/>
    <mergeCell ref="C1432:F1432"/>
    <mergeCell ref="J1432:K1432"/>
    <mergeCell ref="C1433:F1433"/>
    <mergeCell ref="J1433:K1433"/>
    <mergeCell ref="J1434:K1434"/>
    <mergeCell ref="C1436:F1436"/>
    <mergeCell ref="J1436:K1436"/>
    <mergeCell ref="J1427:K1427"/>
    <mergeCell ref="C1429:F1429"/>
    <mergeCell ref="J1429:K1429"/>
    <mergeCell ref="C1430:F1430"/>
    <mergeCell ref="J1430:K1430"/>
    <mergeCell ref="C1431:F1431"/>
    <mergeCell ref="J1431:K1431"/>
    <mergeCell ref="C1424:F1424"/>
    <mergeCell ref="J1424:K1424"/>
    <mergeCell ref="C1425:F1425"/>
    <mergeCell ref="J1425:K1425"/>
    <mergeCell ref="C1426:F1426"/>
    <mergeCell ref="J1426:K1426"/>
    <mergeCell ref="J1448:K1448"/>
    <mergeCell ref="C1445:F1445"/>
    <mergeCell ref="J1445:K1445"/>
    <mergeCell ref="C1446:F1446"/>
    <mergeCell ref="J1446:K1446"/>
    <mergeCell ref="C1447:F1447"/>
    <mergeCell ref="J1447:K1447"/>
    <mergeCell ref="C1440:F1440"/>
    <mergeCell ref="J1440:K1440"/>
    <mergeCell ref="J1441:K1441"/>
    <mergeCell ref="C1443:F1443"/>
    <mergeCell ref="J1443:K1443"/>
    <mergeCell ref="C1444:F1444"/>
    <mergeCell ref="J1444:K1444"/>
    <mergeCell ref="C1437:F1437"/>
    <mergeCell ref="J1437:K1437"/>
    <mergeCell ref="C1438:F1438"/>
    <mergeCell ref="J1438:K1438"/>
    <mergeCell ref="C1439:F1439"/>
    <mergeCell ref="J1439:K1439"/>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4"/>
  <sheetViews>
    <sheetView showGridLines="0" workbookViewId="0">
      <selection activeCell="I9" sqref="I9"/>
    </sheetView>
  </sheetViews>
  <sheetFormatPr defaultRowHeight="15" customHeight="1" x14ac:dyDescent="0.25"/>
  <cols>
    <col min="1" max="1" width="14.7109375" style="1" customWidth="1"/>
    <col min="2" max="2" width="12.7109375" style="1" customWidth="1"/>
    <col min="3" max="3" width="4.7109375" style="1" customWidth="1"/>
    <col min="4" max="4" width="8.7109375" style="1" customWidth="1"/>
    <col min="5" max="5" width="25.7109375" style="1" customWidth="1"/>
    <col min="6" max="6" width="12.7109375" style="1" customWidth="1"/>
    <col min="7" max="7" width="8.7109375" style="1" customWidth="1"/>
    <col min="8" max="9" width="16.7109375" style="1" customWidth="1"/>
    <col min="10" max="11" width="8.7109375" style="1" customWidth="1"/>
    <col min="12" max="12" width="16.7109375" style="1" customWidth="1"/>
    <col min="13" max="13" width="27.5703125" style="1" customWidth="1"/>
    <col min="14" max="16384" width="9.140625" style="1"/>
  </cols>
  <sheetData>
    <row r="1" spans="1:13" ht="15" customHeight="1" x14ac:dyDescent="0.25">
      <c r="A1" s="52" t="str">
        <f>CIDADE</f>
        <v>MUNICÍPIO DE PICOS - PI</v>
      </c>
      <c r="B1" s="52"/>
      <c r="C1" s="52"/>
      <c r="D1" s="52"/>
      <c r="E1" s="52"/>
      <c r="F1" s="52"/>
      <c r="G1" s="52"/>
      <c r="H1" s="52"/>
      <c r="I1" s="52"/>
      <c r="J1" s="52"/>
      <c r="K1" s="52"/>
    </row>
    <row r="2" spans="1:13" ht="15" customHeight="1" x14ac:dyDescent="0.25">
      <c r="A2" s="52" t="str">
        <f>OBRA</f>
        <v>AMPLIAÇÃO ANTIGO PRÉDIO IAPEP PICOS</v>
      </c>
      <c r="B2" s="52"/>
      <c r="C2" s="52"/>
      <c r="D2" s="52"/>
      <c r="E2" s="52"/>
      <c r="F2" s="52"/>
      <c r="G2" s="52"/>
      <c r="H2" s="52"/>
      <c r="I2" s="52"/>
      <c r="J2" s="52"/>
      <c r="K2" s="52"/>
    </row>
    <row r="3" spans="1:13" ht="15" customHeight="1" x14ac:dyDescent="0.25">
      <c r="A3" s="52" t="s">
        <v>731</v>
      </c>
      <c r="B3" s="52"/>
      <c r="C3" s="52"/>
      <c r="D3" s="52"/>
      <c r="E3" s="52"/>
      <c r="F3" s="52"/>
      <c r="G3" s="52"/>
      <c r="H3" s="52"/>
      <c r="I3" s="52"/>
      <c r="J3" s="52"/>
      <c r="K3" s="52"/>
    </row>
    <row r="4" spans="1:13" ht="15" customHeight="1" x14ac:dyDescent="0.25">
      <c r="A4" s="3"/>
      <c r="B4" s="3"/>
      <c r="C4" s="3"/>
      <c r="D4" s="3"/>
      <c r="E4" s="3"/>
      <c r="F4" s="3"/>
      <c r="G4" s="3"/>
      <c r="H4" s="3"/>
      <c r="I4" s="3"/>
      <c r="J4" s="3"/>
      <c r="K4" s="3"/>
    </row>
    <row r="5" spans="1:13" ht="15" customHeight="1" x14ac:dyDescent="0.25">
      <c r="A5" s="2" t="s">
        <v>3</v>
      </c>
      <c r="B5" s="4" t="str">
        <f>FONTE&amp;ONERA</f>
        <v>SINAPI PI-06/2021, SEINFRA 27, ORSE-06/2021, SEM DESONERAÇÃO</v>
      </c>
      <c r="C5" s="2"/>
      <c r="D5" s="2"/>
      <c r="E5" s="2"/>
      <c r="G5" s="3"/>
      <c r="H5" s="2" t="s">
        <v>5</v>
      </c>
      <c r="I5" s="5">
        <f>LEI</f>
        <v>112.14999999999999</v>
      </c>
      <c r="J5" s="2" t="s">
        <v>6</v>
      </c>
      <c r="K5" s="5">
        <f>BDI</f>
        <v>20.8</v>
      </c>
    </row>
    <row r="6" spans="1:13" ht="15" customHeight="1" x14ac:dyDescent="0.25">
      <c r="A6" s="10" t="s">
        <v>295</v>
      </c>
      <c r="B6" s="10" t="s">
        <v>31</v>
      </c>
      <c r="C6" s="82" t="s">
        <v>7</v>
      </c>
      <c r="D6" s="83"/>
      <c r="E6" s="83"/>
      <c r="F6" s="83"/>
      <c r="G6" s="6" t="s">
        <v>32</v>
      </c>
      <c r="H6" s="6" t="s">
        <v>296</v>
      </c>
      <c r="I6" s="6" t="s">
        <v>297</v>
      </c>
      <c r="J6" s="57" t="s">
        <v>9</v>
      </c>
      <c r="K6" s="58"/>
    </row>
    <row r="7" spans="1:13" ht="45" customHeight="1" x14ac:dyDescent="0.25">
      <c r="A7" s="6" t="s">
        <v>502</v>
      </c>
      <c r="B7" s="28">
        <v>95402</v>
      </c>
      <c r="C7" s="91" t="str">
        <f>VLOOKUP(B7,S!$A:$D,2,FALSE)</f>
        <v>CURSO DE CAPACITAÇÃO PARA ENGENHEIRO CIVIL DE OBRA JÚNIOR (ENCARGOS COMPLEMENTARES) - HORISTA</v>
      </c>
      <c r="D7" s="91"/>
      <c r="E7" s="91"/>
      <c r="F7" s="92"/>
      <c r="G7" s="6" t="str">
        <f>VLOOKUP(B7,S!$A:$D,3,FALSE)</f>
        <v>H</v>
      </c>
      <c r="H7" s="21"/>
      <c r="I7" s="21">
        <f>J9</f>
        <v>0.94</v>
      </c>
      <c r="J7" s="76"/>
      <c r="K7" s="72"/>
      <c r="L7" s="21">
        <f>VLOOKUP(B7,S!$A:$D,4,FALSE)</f>
        <v>0.94</v>
      </c>
      <c r="M7" s="6" t="str">
        <f>IF(ROUND((L7-I7),2)=0,"OK, confere com a tabela.",IF(ROUND((L7-I7),2)&lt;0,"ACIMA ("&amp;TEXT(ROUND(I7*100/L7,4),"0,0000")&amp;" %) da tabela.","ABAIXO ("&amp;TEXT(ROUND(I7*100/L7,4),"0,0000")&amp;" %) da tabela."))</f>
        <v>OK, confere com a tabela.</v>
      </c>
    </row>
    <row r="8" spans="1:13" ht="15" customHeight="1" x14ac:dyDescent="0.25">
      <c r="A8" s="16" t="s">
        <v>306</v>
      </c>
      <c r="B8" s="20">
        <v>2706</v>
      </c>
      <c r="C8" s="77" t="str">
        <f>VLOOKUP(B8,IF(A8="COMPOSICAO",S!$A:$D,I!$A:$D),2,FALSE)</f>
        <v>ENGENHEIRO CIVIL DE OBRA JUNIOR</v>
      </c>
      <c r="D8" s="77"/>
      <c r="E8" s="77"/>
      <c r="F8" s="77"/>
      <c r="G8" s="16" t="str">
        <f>VLOOKUP(B8,IF(A8="COMPOSICAO",S!$A:$D,I!$A:$D),3,FALSE)</f>
        <v>H</v>
      </c>
      <c r="H8" s="29">
        <v>1.0500000000000001E-2</v>
      </c>
      <c r="I8" s="17">
        <f>IF(A8="COMPOSICAO",VLOOKUP("TOTAL - "&amp;B8,COMPOSICAO_AUX_3!$A:$J,10,FALSE),VLOOKUP(B8,I!$A:$D,4,FALSE))</f>
        <v>90.16</v>
      </c>
      <c r="J8" s="80">
        <f>TRUNC(H8*I8,2)</f>
        <v>0.94</v>
      </c>
      <c r="K8" s="81"/>
    </row>
    <row r="9" spans="1:13" ht="15" customHeight="1" x14ac:dyDescent="0.25">
      <c r="A9" s="23" t="s">
        <v>732</v>
      </c>
      <c r="B9" s="24"/>
      <c r="C9" s="24"/>
      <c r="D9" s="24"/>
      <c r="E9" s="24"/>
      <c r="F9" s="24"/>
      <c r="G9" s="25"/>
      <c r="H9" s="26"/>
      <c r="I9" s="27"/>
      <c r="J9" s="80">
        <f>SUM(J7:K8)</f>
        <v>0.94</v>
      </c>
      <c r="K9" s="81"/>
    </row>
    <row r="10" spans="1:13" ht="15" customHeight="1" x14ac:dyDescent="0.25">
      <c r="A10" s="3"/>
      <c r="B10" s="3"/>
      <c r="C10" s="3"/>
      <c r="D10" s="3"/>
      <c r="E10" s="3"/>
      <c r="F10" s="3"/>
      <c r="G10" s="3"/>
      <c r="H10" s="3"/>
      <c r="I10" s="3"/>
      <c r="J10" s="3"/>
      <c r="K10" s="3"/>
    </row>
    <row r="11" spans="1:13" ht="15" customHeight="1" x14ac:dyDescent="0.25">
      <c r="A11" s="10" t="s">
        <v>295</v>
      </c>
      <c r="B11" s="10" t="s">
        <v>31</v>
      </c>
      <c r="C11" s="82" t="s">
        <v>7</v>
      </c>
      <c r="D11" s="83"/>
      <c r="E11" s="83"/>
      <c r="F11" s="83"/>
      <c r="G11" s="6" t="s">
        <v>32</v>
      </c>
      <c r="H11" s="6" t="s">
        <v>296</v>
      </c>
      <c r="I11" s="6" t="s">
        <v>297</v>
      </c>
      <c r="J11" s="57" t="s">
        <v>9</v>
      </c>
      <c r="K11" s="58"/>
    </row>
    <row r="12" spans="1:13" ht="30" customHeight="1" x14ac:dyDescent="0.25">
      <c r="A12" s="6" t="s">
        <v>502</v>
      </c>
      <c r="B12" s="28">
        <v>95401</v>
      </c>
      <c r="C12" s="91" t="str">
        <f>VLOOKUP(B12,S!$A:$D,2,FALSE)</f>
        <v>CURSO DE CAPACITAÇÃO PARA ENCARREGADO GERAL (ENCARGOS COMPLEMENTARES) - HORISTA</v>
      </c>
      <c r="D12" s="91"/>
      <c r="E12" s="91"/>
      <c r="F12" s="92"/>
      <c r="G12" s="6" t="str">
        <f>VLOOKUP(B12,S!$A:$D,3,FALSE)</f>
        <v>H</v>
      </c>
      <c r="H12" s="21"/>
      <c r="I12" s="21">
        <f>J14</f>
        <v>0.35</v>
      </c>
      <c r="J12" s="76"/>
      <c r="K12" s="72"/>
      <c r="L12" s="21">
        <f>VLOOKUP(B12,S!$A:$D,4,FALSE)</f>
        <v>0.35</v>
      </c>
      <c r="M12" s="6" t="str">
        <f>IF(ROUND((L12-I12),2)=0,"OK, confere com a tabela.",IF(ROUND((L12-I12),2)&lt;0,"ACIMA ("&amp;TEXT(ROUND(I12*100/L12,4),"0,0000")&amp;" %) da tabela.","ABAIXO ("&amp;TEXT(ROUND(I12*100/L12,4),"0,0000")&amp;" %) da tabela."))</f>
        <v>OK, confere com a tabela.</v>
      </c>
    </row>
    <row r="13" spans="1:13" ht="15" customHeight="1" x14ac:dyDescent="0.25">
      <c r="A13" s="16" t="s">
        <v>306</v>
      </c>
      <c r="B13" s="20">
        <v>4083</v>
      </c>
      <c r="C13" s="77" t="str">
        <f>VLOOKUP(B13,IF(A13="COMPOSICAO",S!$A:$D,I!$A:$D),2,FALSE)</f>
        <v>ENCARREGADO GERAL DE OBRAS</v>
      </c>
      <c r="D13" s="77"/>
      <c r="E13" s="77"/>
      <c r="F13" s="77"/>
      <c r="G13" s="16" t="str">
        <f>VLOOKUP(B13,IF(A13="COMPOSICAO",S!$A:$D,I!$A:$D),3,FALSE)</f>
        <v>H</v>
      </c>
      <c r="H13" s="29">
        <v>1.5100000000000001E-2</v>
      </c>
      <c r="I13" s="17">
        <f>IF(A13="COMPOSICAO",VLOOKUP("TOTAL - "&amp;B13,COMPOSICAO_AUX_3!$A:$J,10,FALSE),VLOOKUP(B13,I!$A:$D,4,FALSE))</f>
        <v>23.37</v>
      </c>
      <c r="J13" s="80">
        <f>TRUNC(H13*I13,2)</f>
        <v>0.35</v>
      </c>
      <c r="K13" s="81"/>
    </row>
    <row r="14" spans="1:13" ht="15" customHeight="1" x14ac:dyDescent="0.25">
      <c r="A14" s="23" t="s">
        <v>733</v>
      </c>
      <c r="B14" s="24"/>
      <c r="C14" s="24"/>
      <c r="D14" s="24"/>
      <c r="E14" s="24"/>
      <c r="F14" s="24"/>
      <c r="G14" s="25"/>
      <c r="H14" s="26"/>
      <c r="I14" s="27"/>
      <c r="J14" s="80">
        <f>SUM(J12:K13)</f>
        <v>0.35</v>
      </c>
      <c r="K14" s="81"/>
    </row>
    <row r="15" spans="1:13" ht="15" customHeight="1" x14ac:dyDescent="0.25">
      <c r="A15" s="3"/>
      <c r="B15" s="3"/>
      <c r="C15" s="3"/>
      <c r="D15" s="3"/>
      <c r="E15" s="3"/>
      <c r="F15" s="3"/>
      <c r="G15" s="3"/>
      <c r="H15" s="3"/>
      <c r="I15" s="3"/>
      <c r="J15" s="3"/>
      <c r="K15" s="3"/>
    </row>
    <row r="16" spans="1:13" ht="15" customHeight="1" x14ac:dyDescent="0.25">
      <c r="A16" s="10" t="s">
        <v>295</v>
      </c>
      <c r="B16" s="10" t="s">
        <v>31</v>
      </c>
      <c r="C16" s="82" t="s">
        <v>7</v>
      </c>
      <c r="D16" s="83"/>
      <c r="E16" s="83"/>
      <c r="F16" s="83"/>
      <c r="G16" s="6" t="s">
        <v>32</v>
      </c>
      <c r="H16" s="6" t="s">
        <v>296</v>
      </c>
      <c r="I16" s="6" t="s">
        <v>297</v>
      </c>
      <c r="J16" s="57" t="s">
        <v>9</v>
      </c>
      <c r="K16" s="58"/>
    </row>
    <row r="17" spans="1:13" ht="30" customHeight="1" x14ac:dyDescent="0.25">
      <c r="A17" s="6" t="s">
        <v>502</v>
      </c>
      <c r="B17" s="28">
        <v>95405</v>
      </c>
      <c r="C17" s="91" t="str">
        <f>VLOOKUP(B17,S!$A:$D,2,FALSE)</f>
        <v>CURSO DE CAPACITAÇÃO PARA MESTRE DE OBRAS (ENCARGOS COMPLEMENTARES) - HORISTA</v>
      </c>
      <c r="D17" s="91"/>
      <c r="E17" s="91"/>
      <c r="F17" s="92"/>
      <c r="G17" s="6" t="str">
        <f>VLOOKUP(B17,S!$A:$D,3,FALSE)</f>
        <v>H</v>
      </c>
      <c r="H17" s="21"/>
      <c r="I17" s="21">
        <f>J19</f>
        <v>0.53</v>
      </c>
      <c r="J17" s="76"/>
      <c r="K17" s="72"/>
      <c r="L17" s="21">
        <f>VLOOKUP(B17,S!$A:$D,4,FALSE)</f>
        <v>0.53</v>
      </c>
      <c r="M17" s="6" t="str">
        <f>IF(ROUND((L17-I17),2)=0,"OK, confere com a tabela.",IF(ROUND((L17-I17),2)&lt;0,"ACIMA ("&amp;TEXT(ROUND(I17*100/L17,4),"0,0000")&amp;" %) da tabela.","ABAIXO ("&amp;TEXT(ROUND(I17*100/L17,4),"0,0000")&amp;" %) da tabela."))</f>
        <v>OK, confere com a tabela.</v>
      </c>
    </row>
    <row r="18" spans="1:13" ht="15" customHeight="1" x14ac:dyDescent="0.25">
      <c r="A18" s="16" t="s">
        <v>306</v>
      </c>
      <c r="B18" s="20">
        <v>4069</v>
      </c>
      <c r="C18" s="77" t="str">
        <f>VLOOKUP(B18,IF(A18="COMPOSICAO",S!$A:$D,I!$A:$D),2,FALSE)</f>
        <v>MESTRE DE OBRAS</v>
      </c>
      <c r="D18" s="77"/>
      <c r="E18" s="77"/>
      <c r="F18" s="77"/>
      <c r="G18" s="16" t="str">
        <f>VLOOKUP(B18,IF(A18="COMPOSICAO",S!$A:$D,I!$A:$D),3,FALSE)</f>
        <v>H</v>
      </c>
      <c r="H18" s="29">
        <v>1.5100000000000001E-2</v>
      </c>
      <c r="I18" s="17">
        <f>IF(A18="COMPOSICAO",VLOOKUP("TOTAL - "&amp;B18,COMPOSICAO_AUX_3!$A:$J,10,FALSE),VLOOKUP(B18,I!$A:$D,4,FALSE))</f>
        <v>35.47</v>
      </c>
      <c r="J18" s="80">
        <f>TRUNC(H18*I18,2)</f>
        <v>0.53</v>
      </c>
      <c r="K18" s="81"/>
    </row>
    <row r="19" spans="1:13" ht="15" customHeight="1" x14ac:dyDescent="0.25">
      <c r="A19" s="23" t="s">
        <v>734</v>
      </c>
      <c r="B19" s="24"/>
      <c r="C19" s="24"/>
      <c r="D19" s="24"/>
      <c r="E19" s="24"/>
      <c r="F19" s="24"/>
      <c r="G19" s="25"/>
      <c r="H19" s="26"/>
      <c r="I19" s="27"/>
      <c r="J19" s="80">
        <f>SUM(J17:K18)</f>
        <v>0.53</v>
      </c>
      <c r="K19" s="81"/>
    </row>
    <row r="20" spans="1:13" ht="15" customHeight="1" x14ac:dyDescent="0.25">
      <c r="A20" s="3"/>
      <c r="B20" s="3"/>
      <c r="C20" s="3"/>
      <c r="D20" s="3"/>
      <c r="E20" s="3"/>
      <c r="F20" s="3"/>
      <c r="G20" s="3"/>
      <c r="H20" s="3"/>
      <c r="I20" s="3"/>
      <c r="J20" s="3"/>
      <c r="K20" s="3"/>
    </row>
    <row r="21" spans="1:13" ht="15" customHeight="1" x14ac:dyDescent="0.25">
      <c r="A21" s="10" t="s">
        <v>295</v>
      </c>
      <c r="B21" s="10" t="s">
        <v>31</v>
      </c>
      <c r="C21" s="82" t="s">
        <v>7</v>
      </c>
      <c r="D21" s="83"/>
      <c r="E21" s="83"/>
      <c r="F21" s="83"/>
      <c r="G21" s="6" t="s">
        <v>32</v>
      </c>
      <c r="H21" s="6" t="s">
        <v>296</v>
      </c>
      <c r="I21" s="6" t="s">
        <v>297</v>
      </c>
      <c r="J21" s="57" t="s">
        <v>9</v>
      </c>
      <c r="K21" s="58"/>
    </row>
    <row r="22" spans="1:13" ht="15" customHeight="1" x14ac:dyDescent="0.25">
      <c r="A22" s="6" t="s">
        <v>502</v>
      </c>
      <c r="B22" s="28">
        <v>88316</v>
      </c>
      <c r="C22" s="91" t="str">
        <f>VLOOKUP(B22,S!$A:$D,2,FALSE)</f>
        <v>SERVENTE COM ENCARGOS COMPLEMENTARES</v>
      </c>
      <c r="D22" s="91"/>
      <c r="E22" s="91"/>
      <c r="F22" s="92"/>
      <c r="G22" s="6" t="str">
        <f>VLOOKUP(B22,S!$A:$D,3,FALSE)</f>
        <v>H</v>
      </c>
      <c r="H22" s="21"/>
      <c r="I22" s="21">
        <f>J31</f>
        <v>15.35</v>
      </c>
      <c r="J22" s="76"/>
      <c r="K22" s="72"/>
      <c r="L22" s="21">
        <f>VLOOKUP(B22,S!$A:$D,4,FALSE)</f>
        <v>15.35</v>
      </c>
      <c r="M22" s="6" t="str">
        <f>IF(ROUND((L22-I22),2)=0,"OK, confere com a tabela.",IF(ROUND((L22-I22),2)&lt;0,"ACIMA ("&amp;TEXT(ROUND(I22*100/L22,4),"0,0000")&amp;" %) da tabela.","ABAIXO ("&amp;TEXT(ROUND(I22*100/L22,4),"0,0000")&amp;" %) da tabela."))</f>
        <v>OK, confere com a tabela.</v>
      </c>
    </row>
    <row r="23" spans="1:13" ht="15" customHeight="1" x14ac:dyDescent="0.25">
      <c r="A23" s="16" t="s">
        <v>306</v>
      </c>
      <c r="B23" s="20">
        <v>6111</v>
      </c>
      <c r="C23" s="77" t="str">
        <f>VLOOKUP(B23,IF(A23="COMPOSICAO",S!$A:$D,I!$A:$D),2,FALSE)</f>
        <v>SERVENTE DE OBRAS</v>
      </c>
      <c r="D23" s="77"/>
      <c r="E23" s="77"/>
      <c r="F23" s="77"/>
      <c r="G23" s="16" t="str">
        <f>VLOOKUP(B23,IF(A23="COMPOSICAO",S!$A:$D,I!$A:$D),3,FALSE)</f>
        <v>H</v>
      </c>
      <c r="H23" s="17">
        <v>1</v>
      </c>
      <c r="I23" s="17">
        <f>IF(A23="COMPOSICAO",VLOOKUP("TOTAL - "&amp;B23,COMPOSICAO_AUX_3!$A:$J,10,FALSE),VLOOKUP(B23,I!$A:$D,4,FALSE))</f>
        <v>10.6</v>
      </c>
      <c r="J23" s="80">
        <f t="shared" ref="J23:J30" si="0">TRUNC(H23*I23,2)</f>
        <v>10.6</v>
      </c>
      <c r="K23" s="81"/>
    </row>
    <row r="24" spans="1:13" ht="15" customHeight="1" x14ac:dyDescent="0.25">
      <c r="A24" s="16" t="s">
        <v>306</v>
      </c>
      <c r="B24" s="20">
        <v>37370</v>
      </c>
      <c r="C24" s="77" t="str">
        <f>VLOOKUP(B24,IF(A24="COMPOSICAO",S!$A:$D,I!$A:$D),2,FALSE)</f>
        <v>ALIMENTACAO - HORISTA (COLETADO CAIXA)</v>
      </c>
      <c r="D24" s="77"/>
      <c r="E24" s="77"/>
      <c r="F24" s="77"/>
      <c r="G24" s="16" t="str">
        <f>VLOOKUP(B24,IF(A24="COMPOSICAO",S!$A:$D,I!$A:$D),3,FALSE)</f>
        <v>H</v>
      </c>
      <c r="H24" s="17">
        <v>1</v>
      </c>
      <c r="I24" s="17">
        <f>IF(A24="COMPOSICAO",VLOOKUP("TOTAL - "&amp;B24,COMPOSICAO_AUX_3!$A:$J,10,FALSE),VLOOKUP(B24,I!$A:$D,4,FALSE))</f>
        <v>1.86</v>
      </c>
      <c r="J24" s="80">
        <f t="shared" si="0"/>
        <v>1.86</v>
      </c>
      <c r="K24" s="81"/>
    </row>
    <row r="25" spans="1:13" ht="15" customHeight="1" x14ac:dyDescent="0.25">
      <c r="A25" s="16" t="s">
        <v>306</v>
      </c>
      <c r="B25" s="20">
        <v>37371</v>
      </c>
      <c r="C25" s="77" t="str">
        <f>VLOOKUP(B25,IF(A25="COMPOSICAO",S!$A:$D,I!$A:$D),2,FALSE)</f>
        <v>TRANSPORTE - HORISTA (COLETADO CAIXA)</v>
      </c>
      <c r="D25" s="77"/>
      <c r="E25" s="77"/>
      <c r="F25" s="77"/>
      <c r="G25" s="16" t="str">
        <f>VLOOKUP(B25,IF(A25="COMPOSICAO",S!$A:$D,I!$A:$D),3,FALSE)</f>
        <v>H</v>
      </c>
      <c r="H25" s="17">
        <v>1</v>
      </c>
      <c r="I25" s="17">
        <f>IF(A25="COMPOSICAO",VLOOKUP("TOTAL - "&amp;B25,COMPOSICAO_AUX_3!$A:$J,10,FALSE),VLOOKUP(B25,I!$A:$D,4,FALSE))</f>
        <v>0.7</v>
      </c>
      <c r="J25" s="80">
        <f t="shared" si="0"/>
        <v>0.7</v>
      </c>
      <c r="K25" s="81"/>
    </row>
    <row r="26" spans="1:13" ht="15" customHeight="1" x14ac:dyDescent="0.25">
      <c r="A26" s="16" t="s">
        <v>306</v>
      </c>
      <c r="B26" s="20">
        <v>37372</v>
      </c>
      <c r="C26" s="77" t="str">
        <f>VLOOKUP(B26,IF(A26="COMPOSICAO",S!$A:$D,I!$A:$D),2,FALSE)</f>
        <v>EXAMES - HORISTA (COLETADO CAIXA)</v>
      </c>
      <c r="D26" s="77"/>
      <c r="E26" s="77"/>
      <c r="F26" s="77"/>
      <c r="G26" s="16" t="str">
        <f>VLOOKUP(B26,IF(A26="COMPOSICAO",S!$A:$D,I!$A:$D),3,FALSE)</f>
        <v>H</v>
      </c>
      <c r="H26" s="17">
        <v>1</v>
      </c>
      <c r="I26" s="17">
        <f>IF(A26="COMPOSICAO",VLOOKUP("TOTAL - "&amp;B26,COMPOSICAO_AUX_3!$A:$J,10,FALSE),VLOOKUP(B26,I!$A:$D,4,FALSE))</f>
        <v>0.55000000000000004</v>
      </c>
      <c r="J26" s="80">
        <f t="shared" si="0"/>
        <v>0.55000000000000004</v>
      </c>
      <c r="K26" s="81"/>
    </row>
    <row r="27" spans="1:13" ht="15" customHeight="1" x14ac:dyDescent="0.25">
      <c r="A27" s="16" t="s">
        <v>306</v>
      </c>
      <c r="B27" s="20">
        <v>37373</v>
      </c>
      <c r="C27" s="77" t="str">
        <f>VLOOKUP(B27,IF(A27="COMPOSICAO",S!$A:$D,I!$A:$D),2,FALSE)</f>
        <v>SEGURO - HORISTA (COLETADO CAIXA)</v>
      </c>
      <c r="D27" s="77"/>
      <c r="E27" s="77"/>
      <c r="F27" s="77"/>
      <c r="G27" s="16" t="str">
        <f>VLOOKUP(B27,IF(A27="COMPOSICAO",S!$A:$D,I!$A:$D),3,FALSE)</f>
        <v>H</v>
      </c>
      <c r="H27" s="17">
        <v>1</v>
      </c>
      <c r="I27" s="17">
        <f>IF(A27="COMPOSICAO",VLOOKUP("TOTAL - "&amp;B27,COMPOSICAO_AUX_3!$A:$J,10,FALSE),VLOOKUP(B27,I!$A:$D,4,FALSE))</f>
        <v>0.06</v>
      </c>
      <c r="J27" s="80">
        <f t="shared" si="0"/>
        <v>0.06</v>
      </c>
      <c r="K27" s="81"/>
    </row>
    <row r="28" spans="1:13" ht="30" customHeight="1" x14ac:dyDescent="0.25">
      <c r="A28" s="16" t="s">
        <v>306</v>
      </c>
      <c r="B28" s="20">
        <v>43467</v>
      </c>
      <c r="C28" s="77" t="str">
        <f>VLOOKUP(B28,IF(A28="COMPOSICAO",S!$A:$D,I!$A:$D),2,FALSE)</f>
        <v>FERRAMENTAS - FAMILIA SERVENTE - HORISTA (ENCARGOS COMPLEMENTARES - COLETADO CAIXA)</v>
      </c>
      <c r="D28" s="77"/>
      <c r="E28" s="77"/>
      <c r="F28" s="77"/>
      <c r="G28" s="16" t="str">
        <f>VLOOKUP(B28,IF(A28="COMPOSICAO",S!$A:$D,I!$A:$D),3,FALSE)</f>
        <v>H</v>
      </c>
      <c r="H28" s="17">
        <v>1</v>
      </c>
      <c r="I28" s="17">
        <f>IF(A28="COMPOSICAO",VLOOKUP("TOTAL - "&amp;B28,COMPOSICAO_AUX_3!$A:$J,10,FALSE),VLOOKUP(B28,I!$A:$D,4,FALSE))</f>
        <v>0.41</v>
      </c>
      <c r="J28" s="80">
        <f t="shared" si="0"/>
        <v>0.41</v>
      </c>
      <c r="K28" s="81"/>
    </row>
    <row r="29" spans="1:13" ht="30" customHeight="1" x14ac:dyDescent="0.25">
      <c r="A29" s="16" t="s">
        <v>306</v>
      </c>
      <c r="B29" s="20">
        <v>43491</v>
      </c>
      <c r="C29" s="77" t="str">
        <f>VLOOKUP(B29,IF(A29="COMPOSICAO",S!$A:$D,I!$A:$D),2,FALSE)</f>
        <v>EPI - FAMILIA SERVENTE - HORISTA (ENCARGOS COMPLEMENTARES - COLETADO CAIXA)</v>
      </c>
      <c r="D29" s="77"/>
      <c r="E29" s="77"/>
      <c r="F29" s="77"/>
      <c r="G29" s="16" t="str">
        <f>VLOOKUP(B29,IF(A29="COMPOSICAO",S!$A:$D,I!$A:$D),3,FALSE)</f>
        <v>H</v>
      </c>
      <c r="H29" s="17">
        <v>1</v>
      </c>
      <c r="I29" s="17">
        <f>IF(A29="COMPOSICAO",VLOOKUP("TOTAL - "&amp;B29,COMPOSICAO_AUX_3!$A:$J,10,FALSE),VLOOKUP(B29,I!$A:$D,4,FALSE))</f>
        <v>1.01</v>
      </c>
      <c r="J29" s="80">
        <f t="shared" si="0"/>
        <v>1.01</v>
      </c>
      <c r="K29" s="81"/>
    </row>
    <row r="30" spans="1:13" ht="30" customHeight="1" x14ac:dyDescent="0.25">
      <c r="A30" s="16" t="s">
        <v>302</v>
      </c>
      <c r="B30" s="20">
        <v>95378</v>
      </c>
      <c r="C30" s="77" t="str">
        <f>VLOOKUP(B30,IF(A30="COMPOSICAO",S!$A:$D,I!$A:$D),2,FALSE)</f>
        <v>CURSO DE CAPACITAÇÃO PARA SERVENTE (ENCARGOS COMPLEMENTARES) - HORISTA</v>
      </c>
      <c r="D30" s="77"/>
      <c r="E30" s="77"/>
      <c r="F30" s="77"/>
      <c r="G30" s="16" t="str">
        <f>VLOOKUP(B30,IF(A30="COMPOSICAO",S!$A:$D,I!$A:$D),3,FALSE)</f>
        <v>H</v>
      </c>
      <c r="H30" s="17">
        <v>1</v>
      </c>
      <c r="I30" s="17">
        <f>IF(A30="COMPOSICAO",VLOOKUP("TOTAL - "&amp;B30,COMPOSICAO_AUX_3!$A:$J,10,FALSE),VLOOKUP(B30,I!$A:$D,4,FALSE))</f>
        <v>0.16</v>
      </c>
      <c r="J30" s="80">
        <f t="shared" si="0"/>
        <v>0.16</v>
      </c>
      <c r="K30" s="81"/>
    </row>
    <row r="31" spans="1:13" ht="15" customHeight="1" x14ac:dyDescent="0.25">
      <c r="A31" s="23" t="s">
        <v>508</v>
      </c>
      <c r="B31" s="24"/>
      <c r="C31" s="24"/>
      <c r="D31" s="24"/>
      <c r="E31" s="24"/>
      <c r="F31" s="24"/>
      <c r="G31" s="25"/>
      <c r="H31" s="26"/>
      <c r="I31" s="27"/>
      <c r="J31" s="80">
        <f>SUM(J22:K30)</f>
        <v>15.35</v>
      </c>
      <c r="K31" s="81"/>
    </row>
    <row r="32" spans="1:13" ht="15" customHeight="1" x14ac:dyDescent="0.25">
      <c r="A32" s="3"/>
      <c r="B32" s="3"/>
      <c r="C32" s="3"/>
      <c r="D32" s="3"/>
      <c r="E32" s="3"/>
      <c r="F32" s="3"/>
      <c r="G32" s="3"/>
      <c r="H32" s="3"/>
      <c r="I32" s="3"/>
      <c r="J32" s="3"/>
      <c r="K32" s="3"/>
    </row>
    <row r="33" spans="1:13" ht="15" customHeight="1" x14ac:dyDescent="0.25">
      <c r="A33" s="10" t="s">
        <v>295</v>
      </c>
      <c r="B33" s="10" t="s">
        <v>31</v>
      </c>
      <c r="C33" s="82" t="s">
        <v>7</v>
      </c>
      <c r="D33" s="83"/>
      <c r="E33" s="83"/>
      <c r="F33" s="83"/>
      <c r="G33" s="6" t="s">
        <v>32</v>
      </c>
      <c r="H33" s="6" t="s">
        <v>296</v>
      </c>
      <c r="I33" s="6" t="s">
        <v>297</v>
      </c>
      <c r="J33" s="57" t="s">
        <v>9</v>
      </c>
      <c r="K33" s="58"/>
    </row>
    <row r="34" spans="1:13" ht="30" customHeight="1" x14ac:dyDescent="0.25">
      <c r="A34" s="6" t="s">
        <v>502</v>
      </c>
      <c r="B34" s="28">
        <v>88377</v>
      </c>
      <c r="C34" s="91" t="str">
        <f>VLOOKUP(B34,S!$A:$D,2,FALSE)</f>
        <v>OPERADOR DE BETONEIRA ESTACIONÁRIA/MISTURADOR COM ENCARGOS COMPLEMENTARES</v>
      </c>
      <c r="D34" s="91"/>
      <c r="E34" s="91"/>
      <c r="F34" s="92"/>
      <c r="G34" s="6" t="str">
        <f>VLOOKUP(B34,S!$A:$D,3,FALSE)</f>
        <v>H</v>
      </c>
      <c r="H34" s="21"/>
      <c r="I34" s="21">
        <f>J43</f>
        <v>19.810000000000002</v>
      </c>
      <c r="J34" s="76"/>
      <c r="K34" s="72"/>
      <c r="L34" s="21">
        <f>VLOOKUP(B34,S!$A:$D,4,FALSE)</f>
        <v>19.809999999999999</v>
      </c>
      <c r="M34" s="6" t="str">
        <f>IF(ROUND((L34-I34),2)=0,"OK, confere com a tabela.",IF(ROUND((L34-I34),2)&lt;0,"ACIMA ("&amp;TEXT(ROUND(I34*100/L34,4),"0,0000")&amp;" %) da tabela.","ABAIXO ("&amp;TEXT(ROUND(I34*100/L34,4),"0,0000")&amp;" %) da tabela."))</f>
        <v>OK, confere com a tabela.</v>
      </c>
    </row>
    <row r="35" spans="1:13" ht="15" customHeight="1" x14ac:dyDescent="0.25">
      <c r="A35" s="16" t="s">
        <v>306</v>
      </c>
      <c r="B35" s="20">
        <v>37370</v>
      </c>
      <c r="C35" s="77" t="str">
        <f>VLOOKUP(B35,IF(A35="COMPOSICAO",S!$A:$D,I!$A:$D),2,FALSE)</f>
        <v>ALIMENTACAO - HORISTA (COLETADO CAIXA)</v>
      </c>
      <c r="D35" s="77"/>
      <c r="E35" s="77"/>
      <c r="F35" s="77"/>
      <c r="G35" s="16" t="str">
        <f>VLOOKUP(B35,IF(A35="COMPOSICAO",S!$A:$D,I!$A:$D),3,FALSE)</f>
        <v>H</v>
      </c>
      <c r="H35" s="17">
        <v>1</v>
      </c>
      <c r="I35" s="17">
        <f>IF(A35="COMPOSICAO",VLOOKUP("TOTAL - "&amp;B35,COMPOSICAO_AUX_3!$A:$J,10,FALSE),VLOOKUP(B35,I!$A:$D,4,FALSE))</f>
        <v>1.86</v>
      </c>
      <c r="J35" s="80">
        <f t="shared" ref="J35:J42" si="1">TRUNC(H35*I35,2)</f>
        <v>1.86</v>
      </c>
      <c r="K35" s="81"/>
    </row>
    <row r="36" spans="1:13" ht="15" customHeight="1" x14ac:dyDescent="0.25">
      <c r="A36" s="16" t="s">
        <v>306</v>
      </c>
      <c r="B36" s="20">
        <v>37371</v>
      </c>
      <c r="C36" s="77" t="str">
        <f>VLOOKUP(B36,IF(A36="COMPOSICAO",S!$A:$D,I!$A:$D),2,FALSE)</f>
        <v>TRANSPORTE - HORISTA (COLETADO CAIXA)</v>
      </c>
      <c r="D36" s="77"/>
      <c r="E36" s="77"/>
      <c r="F36" s="77"/>
      <c r="G36" s="16" t="str">
        <f>VLOOKUP(B36,IF(A36="COMPOSICAO",S!$A:$D,I!$A:$D),3,FALSE)</f>
        <v>H</v>
      </c>
      <c r="H36" s="17">
        <v>1</v>
      </c>
      <c r="I36" s="17">
        <f>IF(A36="COMPOSICAO",VLOOKUP("TOTAL - "&amp;B36,COMPOSICAO_AUX_3!$A:$J,10,FALSE),VLOOKUP(B36,I!$A:$D,4,FALSE))</f>
        <v>0.7</v>
      </c>
      <c r="J36" s="80">
        <f t="shared" si="1"/>
        <v>0.7</v>
      </c>
      <c r="K36" s="81"/>
    </row>
    <row r="37" spans="1:13" ht="15" customHeight="1" x14ac:dyDescent="0.25">
      <c r="A37" s="16" t="s">
        <v>306</v>
      </c>
      <c r="B37" s="20">
        <v>37372</v>
      </c>
      <c r="C37" s="77" t="str">
        <f>VLOOKUP(B37,IF(A37="COMPOSICAO",S!$A:$D,I!$A:$D),2,FALSE)</f>
        <v>EXAMES - HORISTA (COLETADO CAIXA)</v>
      </c>
      <c r="D37" s="77"/>
      <c r="E37" s="77"/>
      <c r="F37" s="77"/>
      <c r="G37" s="16" t="str">
        <f>VLOOKUP(B37,IF(A37="COMPOSICAO",S!$A:$D,I!$A:$D),3,FALSE)</f>
        <v>H</v>
      </c>
      <c r="H37" s="17">
        <v>1</v>
      </c>
      <c r="I37" s="17">
        <f>IF(A37="COMPOSICAO",VLOOKUP("TOTAL - "&amp;B37,COMPOSICAO_AUX_3!$A:$J,10,FALSE),VLOOKUP(B37,I!$A:$D,4,FALSE))</f>
        <v>0.55000000000000004</v>
      </c>
      <c r="J37" s="80">
        <f t="shared" si="1"/>
        <v>0.55000000000000004</v>
      </c>
      <c r="K37" s="81"/>
    </row>
    <row r="38" spans="1:13" ht="15" customHeight="1" x14ac:dyDescent="0.25">
      <c r="A38" s="16" t="s">
        <v>306</v>
      </c>
      <c r="B38" s="20">
        <v>37373</v>
      </c>
      <c r="C38" s="77" t="str">
        <f>VLOOKUP(B38,IF(A38="COMPOSICAO",S!$A:$D,I!$A:$D),2,FALSE)</f>
        <v>SEGURO - HORISTA (COLETADO CAIXA)</v>
      </c>
      <c r="D38" s="77"/>
      <c r="E38" s="77"/>
      <c r="F38" s="77"/>
      <c r="G38" s="16" t="str">
        <f>VLOOKUP(B38,IF(A38="COMPOSICAO",S!$A:$D,I!$A:$D),3,FALSE)</f>
        <v>H</v>
      </c>
      <c r="H38" s="17">
        <v>1</v>
      </c>
      <c r="I38" s="17">
        <f>IF(A38="COMPOSICAO",VLOOKUP("TOTAL - "&amp;B38,COMPOSICAO_AUX_3!$A:$J,10,FALSE),VLOOKUP(B38,I!$A:$D,4,FALSE))</f>
        <v>0.06</v>
      </c>
      <c r="J38" s="80">
        <f t="shared" si="1"/>
        <v>0.06</v>
      </c>
      <c r="K38" s="81"/>
    </row>
    <row r="39" spans="1:13" ht="30" customHeight="1" x14ac:dyDescent="0.25">
      <c r="A39" s="16" t="s">
        <v>306</v>
      </c>
      <c r="B39" s="20">
        <v>37666</v>
      </c>
      <c r="C39" s="77" t="str">
        <f>VLOOKUP(B39,IF(A39="COMPOSICAO",S!$A:$D,I!$A:$D),2,FALSE)</f>
        <v>OPERADOR DE BETONEIRA ESTACIONARIA / MISTURADOR</v>
      </c>
      <c r="D39" s="77"/>
      <c r="E39" s="77"/>
      <c r="F39" s="77"/>
      <c r="G39" s="16" t="str">
        <f>VLOOKUP(B39,IF(A39="COMPOSICAO",S!$A:$D,I!$A:$D),3,FALSE)</f>
        <v>H</v>
      </c>
      <c r="H39" s="17">
        <v>1</v>
      </c>
      <c r="I39" s="17">
        <f>IF(A39="COMPOSICAO",VLOOKUP("TOTAL - "&amp;B39,COMPOSICAO_AUX_3!$A:$J,10,FALSE),VLOOKUP(B39,I!$A:$D,4,FALSE))</f>
        <v>15.91</v>
      </c>
      <c r="J39" s="80">
        <f t="shared" si="1"/>
        <v>15.91</v>
      </c>
      <c r="K39" s="81"/>
    </row>
    <row r="40" spans="1:13" ht="45" customHeight="1" x14ac:dyDescent="0.25">
      <c r="A40" s="16" t="s">
        <v>306</v>
      </c>
      <c r="B40" s="20">
        <v>43464</v>
      </c>
      <c r="C40" s="77" t="str">
        <f>VLOOKUP(B40,IF(A40="COMPOSICAO",S!$A:$D,I!$A:$D),2,FALSE)</f>
        <v>FERRAMENTAS - FAMILIA OPERADOR ESCAVADEIRA - HORISTA (ENCARGOS COMPLEMENTARES - COLETADO CAIXA)</v>
      </c>
      <c r="D40" s="77"/>
      <c r="E40" s="77"/>
      <c r="F40" s="77"/>
      <c r="G40" s="16" t="str">
        <f>VLOOKUP(B40,IF(A40="COMPOSICAO",S!$A:$D,I!$A:$D),3,FALSE)</f>
        <v>H</v>
      </c>
      <c r="H40" s="17">
        <v>1</v>
      </c>
      <c r="I40" s="17">
        <f>IF(A40="COMPOSICAO",VLOOKUP("TOTAL - "&amp;B40,COMPOSICAO_AUX_3!$A:$J,10,FALSE),VLOOKUP(B40,I!$A:$D,4,FALSE))</f>
        <v>0.01</v>
      </c>
      <c r="J40" s="80">
        <f t="shared" si="1"/>
        <v>0.01</v>
      </c>
      <c r="K40" s="81"/>
    </row>
    <row r="41" spans="1:13" ht="30" customHeight="1" x14ac:dyDescent="0.25">
      <c r="A41" s="16" t="s">
        <v>306</v>
      </c>
      <c r="B41" s="20">
        <v>43488</v>
      </c>
      <c r="C41" s="77" t="str">
        <f>VLOOKUP(B41,IF(A41="COMPOSICAO",S!$A:$D,I!$A:$D),2,FALSE)</f>
        <v>EPI - FAMILIA OPERADOR ESCAVADEIRA - HORISTA (ENCARGOS COMPLEMENTARES - COLETADO CAIXA)</v>
      </c>
      <c r="D41" s="77"/>
      <c r="E41" s="77"/>
      <c r="F41" s="77"/>
      <c r="G41" s="16" t="str">
        <f>VLOOKUP(B41,IF(A41="COMPOSICAO",S!$A:$D,I!$A:$D),3,FALSE)</f>
        <v>H</v>
      </c>
      <c r="H41" s="17">
        <v>1</v>
      </c>
      <c r="I41" s="17">
        <f>IF(A41="COMPOSICAO",VLOOKUP("TOTAL - "&amp;B41,COMPOSICAO_AUX_3!$A:$J,10,FALSE),VLOOKUP(B41,I!$A:$D,4,FALSE))</f>
        <v>0.63</v>
      </c>
      <c r="J41" s="80">
        <f t="shared" si="1"/>
        <v>0.63</v>
      </c>
      <c r="K41" s="81"/>
    </row>
    <row r="42" spans="1:13" ht="45" customHeight="1" x14ac:dyDescent="0.25">
      <c r="A42" s="16" t="s">
        <v>302</v>
      </c>
      <c r="B42" s="20">
        <v>95389</v>
      </c>
      <c r="C42" s="77" t="str">
        <f>VLOOKUP(B42,IF(A42="COMPOSICAO",S!$A:$D,I!$A:$D),2,FALSE)</f>
        <v>CURSO DE CAPACITAÇÃO PARA OPERADOR DE BETONEIRA ESTACIONÁRIA/MISTURADOR (ENCARGOS COMPLEMENTARES) - HORISTA</v>
      </c>
      <c r="D42" s="77"/>
      <c r="E42" s="77"/>
      <c r="F42" s="77"/>
      <c r="G42" s="16" t="str">
        <f>VLOOKUP(B42,IF(A42="COMPOSICAO",S!$A:$D,I!$A:$D),3,FALSE)</f>
        <v>H</v>
      </c>
      <c r="H42" s="17">
        <v>1</v>
      </c>
      <c r="I42" s="17">
        <f>IF(A42="COMPOSICAO",VLOOKUP("TOTAL - "&amp;B42,COMPOSICAO_AUX_3!$A:$J,10,FALSE),VLOOKUP(B42,I!$A:$D,4,FALSE))</f>
        <v>0.09</v>
      </c>
      <c r="J42" s="80">
        <f t="shared" si="1"/>
        <v>0.09</v>
      </c>
      <c r="K42" s="81"/>
    </row>
    <row r="43" spans="1:13" ht="15" customHeight="1" x14ac:dyDescent="0.25">
      <c r="A43" s="23" t="s">
        <v>735</v>
      </c>
      <c r="B43" s="24"/>
      <c r="C43" s="24"/>
      <c r="D43" s="24"/>
      <c r="E43" s="24"/>
      <c r="F43" s="24"/>
      <c r="G43" s="25"/>
      <c r="H43" s="26"/>
      <c r="I43" s="27"/>
      <c r="J43" s="80">
        <f>SUM(J34:K42)</f>
        <v>19.810000000000002</v>
      </c>
      <c r="K43" s="81"/>
    </row>
    <row r="44" spans="1:13" ht="15" customHeight="1" x14ac:dyDescent="0.25">
      <c r="A44" s="3"/>
      <c r="B44" s="3"/>
      <c r="C44" s="3"/>
      <c r="D44" s="3"/>
      <c r="E44" s="3"/>
      <c r="F44" s="3"/>
      <c r="G44" s="3"/>
      <c r="H44" s="3"/>
      <c r="I44" s="3"/>
      <c r="J44" s="3"/>
      <c r="K44" s="3"/>
    </row>
    <row r="45" spans="1:13" ht="15" customHeight="1" x14ac:dyDescent="0.25">
      <c r="A45" s="10" t="s">
        <v>295</v>
      </c>
      <c r="B45" s="10" t="s">
        <v>31</v>
      </c>
      <c r="C45" s="82" t="s">
        <v>7</v>
      </c>
      <c r="D45" s="83"/>
      <c r="E45" s="83"/>
      <c r="F45" s="83"/>
      <c r="G45" s="6" t="s">
        <v>32</v>
      </c>
      <c r="H45" s="6" t="s">
        <v>296</v>
      </c>
      <c r="I45" s="6" t="s">
        <v>297</v>
      </c>
      <c r="J45" s="57" t="s">
        <v>9</v>
      </c>
      <c r="K45" s="58"/>
    </row>
    <row r="46" spans="1:13" ht="60" customHeight="1" x14ac:dyDescent="0.25">
      <c r="A46" s="6" t="s">
        <v>572</v>
      </c>
      <c r="B46" s="28">
        <v>88830</v>
      </c>
      <c r="C46" s="91" t="str">
        <f>VLOOKUP(B46,S!$A:$D,2,FALSE)</f>
        <v>BETONEIRA CAPACIDADE NOMINAL DE 400 L, CAPACIDADE DE MISTURA 280 L, MOTOR ELÉTRICO TRIFÁSICO POTÊNCIA DE 2 CV, SEM CARREGADOR - CHP DIURNO. AF_10/2014</v>
      </c>
      <c r="D46" s="91"/>
      <c r="E46" s="91"/>
      <c r="F46" s="92"/>
      <c r="G46" s="6" t="str">
        <f>VLOOKUP(B46,S!$A:$D,3,FALSE)</f>
        <v>CHP</v>
      </c>
      <c r="H46" s="21"/>
      <c r="I46" s="21">
        <f>J51</f>
        <v>1.7</v>
      </c>
      <c r="J46" s="76"/>
      <c r="K46" s="72"/>
      <c r="L46" s="21">
        <f>VLOOKUP(B46,S!$A:$D,4,FALSE)</f>
        <v>1.7</v>
      </c>
      <c r="M46" s="6" t="str">
        <f>IF(ROUND((L46-I46),2)=0,"OK, confere com a tabela.",IF(ROUND((L46-I46),2)&lt;0,"ACIMA ("&amp;TEXT(ROUND(I46*100/L46,4),"0,0000")&amp;" %) da tabela.","ABAIXO ("&amp;TEXT(ROUND(I46*100/L46,4),"0,0000")&amp;" %) da tabela."))</f>
        <v>OK, confere com a tabela.</v>
      </c>
    </row>
    <row r="47" spans="1:13" ht="60" customHeight="1" x14ac:dyDescent="0.25">
      <c r="A47" s="16" t="s">
        <v>302</v>
      </c>
      <c r="B47" s="20">
        <v>88826</v>
      </c>
      <c r="C47" s="77" t="str">
        <f>VLOOKUP(B47,IF(A47="COMPOSICAO",S!$A:$D,I!$A:$D),2,FALSE)</f>
        <v>BETONEIRA CAPACIDADE NOMINAL DE 400 L, CAPACIDADE DE MISTURA 280 L, MOTOR ELÉTRICO TRIFÁSICO POTÊNCIA DE 2 CV, SEM CARREGADOR - DEPRECIAÇÃO. AF_10/2014</v>
      </c>
      <c r="D47" s="77"/>
      <c r="E47" s="77"/>
      <c r="F47" s="77"/>
      <c r="G47" s="16" t="str">
        <f>VLOOKUP(B47,IF(A47="COMPOSICAO",S!$A:$D,I!$A:$D),3,FALSE)</f>
        <v>H</v>
      </c>
      <c r="H47" s="17">
        <v>1</v>
      </c>
      <c r="I47" s="17">
        <f>IF(A47="COMPOSICAO",VLOOKUP("TOTAL - "&amp;B47,COMPOSICAO_AUX_3!$A:$J,10,FALSE),VLOOKUP(B47,I!$A:$D,4,FALSE))</f>
        <v>0.37</v>
      </c>
      <c r="J47" s="80">
        <f>TRUNC(H47*I47,2)</f>
        <v>0.37</v>
      </c>
      <c r="K47" s="81"/>
    </row>
    <row r="48" spans="1:13" ht="60" customHeight="1" x14ac:dyDescent="0.25">
      <c r="A48" s="16" t="s">
        <v>302</v>
      </c>
      <c r="B48" s="20">
        <v>88827</v>
      </c>
      <c r="C48" s="77" t="str">
        <f>VLOOKUP(B48,IF(A48="COMPOSICAO",S!$A:$D,I!$A:$D),2,FALSE)</f>
        <v>BETONEIRA CAPACIDADE NOMINAL DE 400 L, CAPACIDADE DE MISTURA 280 L, MOTOR ELÉTRICO TRIFÁSICO POTÊNCIA DE 2 CV, SEM CARREGADOR - JUROS. AF_10/2014</v>
      </c>
      <c r="D48" s="77"/>
      <c r="E48" s="77"/>
      <c r="F48" s="77"/>
      <c r="G48" s="16" t="str">
        <f>VLOOKUP(B48,IF(A48="COMPOSICAO",S!$A:$D,I!$A:$D),3,FALSE)</f>
        <v>H</v>
      </c>
      <c r="H48" s="17">
        <v>1</v>
      </c>
      <c r="I48" s="17">
        <f>IF(A48="COMPOSICAO",VLOOKUP("TOTAL - "&amp;B48,COMPOSICAO_AUX_3!$A:$J,10,FALSE),VLOOKUP(B48,I!$A:$D,4,FALSE))</f>
        <v>0.04</v>
      </c>
      <c r="J48" s="80">
        <f>TRUNC(H48*I48,2)</f>
        <v>0.04</v>
      </c>
      <c r="K48" s="81"/>
    </row>
    <row r="49" spans="1:13" ht="60" customHeight="1" x14ac:dyDescent="0.25">
      <c r="A49" s="16" t="s">
        <v>302</v>
      </c>
      <c r="B49" s="20">
        <v>88828</v>
      </c>
      <c r="C49" s="77" t="str">
        <f>VLOOKUP(B49,IF(A49="COMPOSICAO",S!$A:$D,I!$A:$D),2,FALSE)</f>
        <v>BETONEIRA CAPACIDADE NOMINAL DE 400 L, CAPACIDADE DE MISTURA 280 L, MOTOR ELÉTRICO TRIFÁSICO POTÊNCIA DE 2 CV, SEM CARREGADOR - MANUTENÇÃO. AF_10/2014</v>
      </c>
      <c r="D49" s="77"/>
      <c r="E49" s="77"/>
      <c r="F49" s="77"/>
      <c r="G49" s="16" t="str">
        <f>VLOOKUP(B49,IF(A49="COMPOSICAO",S!$A:$D,I!$A:$D),3,FALSE)</f>
        <v>H</v>
      </c>
      <c r="H49" s="17">
        <v>1</v>
      </c>
      <c r="I49" s="17">
        <f>IF(A49="COMPOSICAO",VLOOKUP("TOTAL - "&amp;B49,COMPOSICAO_AUX_3!$A:$J,10,FALSE),VLOOKUP(B49,I!$A:$D,4,FALSE))</f>
        <v>0.34</v>
      </c>
      <c r="J49" s="80">
        <f>TRUNC(H49*I49,2)</f>
        <v>0.34</v>
      </c>
      <c r="K49" s="81"/>
    </row>
    <row r="50" spans="1:13" ht="60" customHeight="1" x14ac:dyDescent="0.25">
      <c r="A50" s="16" t="s">
        <v>302</v>
      </c>
      <c r="B50" s="20">
        <v>88829</v>
      </c>
      <c r="C50" s="77" t="str">
        <f>VLOOKUP(B50,IF(A50="COMPOSICAO",S!$A:$D,I!$A:$D),2,FALSE)</f>
        <v>BETONEIRA CAPACIDADE NOMINAL DE 400 L, CAPACIDADE DE MISTURA 280 L, MOTOR ELÉTRICO TRIFÁSICO POTÊNCIA DE 2 CV, SEM CARREGADOR - MATERIAIS NA OPERAÇÃO. AF_10/2014</v>
      </c>
      <c r="D50" s="77"/>
      <c r="E50" s="77"/>
      <c r="F50" s="77"/>
      <c r="G50" s="16" t="str">
        <f>VLOOKUP(B50,IF(A50="COMPOSICAO",S!$A:$D,I!$A:$D),3,FALSE)</f>
        <v>H</v>
      </c>
      <c r="H50" s="17">
        <v>1</v>
      </c>
      <c r="I50" s="17">
        <f>IF(A50="COMPOSICAO",VLOOKUP("TOTAL - "&amp;B50,COMPOSICAO_AUX_3!$A:$J,10,FALSE),VLOOKUP(B50,I!$A:$D,4,FALSE))</f>
        <v>0.95</v>
      </c>
      <c r="J50" s="80">
        <f>TRUNC(H50*I50,2)</f>
        <v>0.95</v>
      </c>
      <c r="K50" s="81"/>
    </row>
    <row r="51" spans="1:13" ht="15" customHeight="1" x14ac:dyDescent="0.25">
      <c r="A51" s="23" t="s">
        <v>736</v>
      </c>
      <c r="B51" s="24"/>
      <c r="C51" s="24"/>
      <c r="D51" s="24"/>
      <c r="E51" s="24"/>
      <c r="F51" s="24"/>
      <c r="G51" s="25"/>
      <c r="H51" s="26"/>
      <c r="I51" s="27"/>
      <c r="J51" s="80">
        <f>SUM(J46:K50)</f>
        <v>1.7</v>
      </c>
      <c r="K51" s="81"/>
    </row>
    <row r="52" spans="1:13" ht="15" customHeight="1" x14ac:dyDescent="0.25">
      <c r="A52" s="3"/>
      <c r="B52" s="3"/>
      <c r="C52" s="3"/>
      <c r="D52" s="3"/>
      <c r="E52" s="3"/>
      <c r="F52" s="3"/>
      <c r="G52" s="3"/>
      <c r="H52" s="3"/>
      <c r="I52" s="3"/>
      <c r="J52" s="3"/>
      <c r="K52" s="3"/>
    </row>
    <row r="53" spans="1:13" ht="15" customHeight="1" x14ac:dyDescent="0.25">
      <c r="A53" s="10" t="s">
        <v>295</v>
      </c>
      <c r="B53" s="10" t="s">
        <v>31</v>
      </c>
      <c r="C53" s="82" t="s">
        <v>7</v>
      </c>
      <c r="D53" s="83"/>
      <c r="E53" s="83"/>
      <c r="F53" s="83"/>
      <c r="G53" s="6" t="s">
        <v>32</v>
      </c>
      <c r="H53" s="6" t="s">
        <v>296</v>
      </c>
      <c r="I53" s="6" t="s">
        <v>297</v>
      </c>
      <c r="J53" s="57" t="s">
        <v>9</v>
      </c>
      <c r="K53" s="58"/>
    </row>
    <row r="54" spans="1:13" ht="60" customHeight="1" x14ac:dyDescent="0.25">
      <c r="A54" s="6" t="s">
        <v>572</v>
      </c>
      <c r="B54" s="28">
        <v>88831</v>
      </c>
      <c r="C54" s="91" t="str">
        <f>VLOOKUP(B54,S!$A:$D,2,FALSE)</f>
        <v>BETONEIRA CAPACIDADE NOMINAL DE 400 L, CAPACIDADE DE MISTURA 280 L, MOTOR ELÉTRICO TRIFÁSICO POTÊNCIA DE 2 CV, SEM CARREGADOR - CHI DIURNO. AF_10/2014</v>
      </c>
      <c r="D54" s="91"/>
      <c r="E54" s="91"/>
      <c r="F54" s="92"/>
      <c r="G54" s="6" t="str">
        <f>VLOOKUP(B54,S!$A:$D,3,FALSE)</f>
        <v>CHI</v>
      </c>
      <c r="H54" s="21"/>
      <c r="I54" s="21">
        <f>J57</f>
        <v>0.41</v>
      </c>
      <c r="J54" s="76"/>
      <c r="K54" s="72"/>
      <c r="L54" s="21">
        <f>VLOOKUP(B54,S!$A:$D,4,FALSE)</f>
        <v>0.41</v>
      </c>
      <c r="M54" s="6" t="str">
        <f>IF(ROUND((L54-I54),2)=0,"OK, confere com a tabela.",IF(ROUND((L54-I54),2)&lt;0,"ACIMA ("&amp;TEXT(ROUND(I54*100/L54,4),"0,0000")&amp;" %) da tabela.","ABAIXO ("&amp;TEXT(ROUND(I54*100/L54,4),"0,0000")&amp;" %) da tabela."))</f>
        <v>OK, confere com a tabela.</v>
      </c>
    </row>
    <row r="55" spans="1:13" ht="60" customHeight="1" x14ac:dyDescent="0.25">
      <c r="A55" s="16" t="s">
        <v>302</v>
      </c>
      <c r="B55" s="20">
        <v>88826</v>
      </c>
      <c r="C55" s="77" t="str">
        <f>VLOOKUP(B55,IF(A55="COMPOSICAO",S!$A:$D,I!$A:$D),2,FALSE)</f>
        <v>BETONEIRA CAPACIDADE NOMINAL DE 400 L, CAPACIDADE DE MISTURA 280 L, MOTOR ELÉTRICO TRIFÁSICO POTÊNCIA DE 2 CV, SEM CARREGADOR - DEPRECIAÇÃO. AF_10/2014</v>
      </c>
      <c r="D55" s="77"/>
      <c r="E55" s="77"/>
      <c r="F55" s="77"/>
      <c r="G55" s="16" t="str">
        <f>VLOOKUP(B55,IF(A55="COMPOSICAO",S!$A:$D,I!$A:$D),3,FALSE)</f>
        <v>H</v>
      </c>
      <c r="H55" s="17">
        <v>1</v>
      </c>
      <c r="I55" s="17">
        <f>IF(A55="COMPOSICAO",VLOOKUP("TOTAL - "&amp;B55,COMPOSICAO_AUX_3!$A:$J,10,FALSE),VLOOKUP(B55,I!$A:$D,4,FALSE))</f>
        <v>0.37</v>
      </c>
      <c r="J55" s="80">
        <f>TRUNC(H55*I55,2)</f>
        <v>0.37</v>
      </c>
      <c r="K55" s="81"/>
    </row>
    <row r="56" spans="1:13" ht="60" customHeight="1" x14ac:dyDescent="0.25">
      <c r="A56" s="16" t="s">
        <v>302</v>
      </c>
      <c r="B56" s="20">
        <v>88827</v>
      </c>
      <c r="C56" s="77" t="str">
        <f>VLOOKUP(B56,IF(A56="COMPOSICAO",S!$A:$D,I!$A:$D),2,FALSE)</f>
        <v>BETONEIRA CAPACIDADE NOMINAL DE 400 L, CAPACIDADE DE MISTURA 280 L, MOTOR ELÉTRICO TRIFÁSICO POTÊNCIA DE 2 CV, SEM CARREGADOR - JUROS. AF_10/2014</v>
      </c>
      <c r="D56" s="77"/>
      <c r="E56" s="77"/>
      <c r="F56" s="77"/>
      <c r="G56" s="16" t="str">
        <f>VLOOKUP(B56,IF(A56="COMPOSICAO",S!$A:$D,I!$A:$D),3,FALSE)</f>
        <v>H</v>
      </c>
      <c r="H56" s="17">
        <v>1</v>
      </c>
      <c r="I56" s="17">
        <f>IF(A56="COMPOSICAO",VLOOKUP("TOTAL - "&amp;B56,COMPOSICAO_AUX_3!$A:$J,10,FALSE),VLOOKUP(B56,I!$A:$D,4,FALSE))</f>
        <v>0.04</v>
      </c>
      <c r="J56" s="80">
        <f>TRUNC(H56*I56,2)</f>
        <v>0.04</v>
      </c>
      <c r="K56" s="81"/>
    </row>
    <row r="57" spans="1:13" ht="15" customHeight="1" x14ac:dyDescent="0.25">
      <c r="A57" s="23" t="s">
        <v>737</v>
      </c>
      <c r="B57" s="24"/>
      <c r="C57" s="24"/>
      <c r="D57" s="24"/>
      <c r="E57" s="24"/>
      <c r="F57" s="24"/>
      <c r="G57" s="25"/>
      <c r="H57" s="26"/>
      <c r="I57" s="27"/>
      <c r="J57" s="80">
        <f>SUM(J54:K56)</f>
        <v>0.41</v>
      </c>
      <c r="K57" s="81"/>
    </row>
    <row r="58" spans="1:13" ht="15" customHeight="1" x14ac:dyDescent="0.25">
      <c r="A58" s="3"/>
      <c r="B58" s="3"/>
      <c r="C58" s="3"/>
      <c r="D58" s="3"/>
      <c r="E58" s="3"/>
      <c r="F58" s="3"/>
      <c r="G58" s="3"/>
      <c r="H58" s="3"/>
      <c r="I58" s="3"/>
      <c r="J58" s="3"/>
      <c r="K58" s="3"/>
    </row>
    <row r="59" spans="1:13" ht="15" customHeight="1" x14ac:dyDescent="0.25">
      <c r="A59" s="10" t="s">
        <v>295</v>
      </c>
      <c r="B59" s="10" t="s">
        <v>31</v>
      </c>
      <c r="C59" s="82" t="s">
        <v>7</v>
      </c>
      <c r="D59" s="83"/>
      <c r="E59" s="83"/>
      <c r="F59" s="83"/>
      <c r="G59" s="6" t="s">
        <v>32</v>
      </c>
      <c r="H59" s="6" t="s">
        <v>296</v>
      </c>
      <c r="I59" s="6" t="s">
        <v>297</v>
      </c>
      <c r="J59" s="57" t="s">
        <v>9</v>
      </c>
      <c r="K59" s="58"/>
    </row>
    <row r="60" spans="1:13" ht="30" customHeight="1" x14ac:dyDescent="0.25">
      <c r="A60" s="6" t="s">
        <v>502</v>
      </c>
      <c r="B60" s="28">
        <v>95330</v>
      </c>
      <c r="C60" s="91" t="str">
        <f>VLOOKUP(B60,S!$A:$D,2,FALSE)</f>
        <v>CURSO DE CAPACITAÇÃO PARA CARPINTEIRO DE FÔRMAS (ENCARGOS COMPLEMENTARES) - HORISTA</v>
      </c>
      <c r="D60" s="91"/>
      <c r="E60" s="91"/>
      <c r="F60" s="92"/>
      <c r="G60" s="6" t="str">
        <f>VLOOKUP(B60,S!$A:$D,3,FALSE)</f>
        <v>H</v>
      </c>
      <c r="H60" s="21"/>
      <c r="I60" s="21">
        <f>J62</f>
        <v>0.12</v>
      </c>
      <c r="J60" s="76"/>
      <c r="K60" s="72"/>
      <c r="L60" s="21">
        <f>VLOOKUP(B60,S!$A:$D,4,FALSE)</f>
        <v>0.12</v>
      </c>
      <c r="M60" s="6" t="str">
        <f>IF(ROUND((L60-I60),2)=0,"OK, confere com a tabela.",IF(ROUND((L60-I60),2)&lt;0,"ACIMA ("&amp;TEXT(ROUND(I60*100/L60,4),"0,0000")&amp;" %) da tabela.","ABAIXO ("&amp;TEXT(ROUND(I60*100/L60,4),"0,0000")&amp;" %) da tabela."))</f>
        <v>OK, confere com a tabela.</v>
      </c>
    </row>
    <row r="61" spans="1:13" ht="15" customHeight="1" x14ac:dyDescent="0.25">
      <c r="A61" s="16" t="s">
        <v>306</v>
      </c>
      <c r="B61" s="20">
        <v>1213</v>
      </c>
      <c r="C61" s="77" t="str">
        <f>VLOOKUP(B61,IF(A61="COMPOSICAO",S!$A:$D,I!$A:$D),2,FALSE)</f>
        <v>CARPINTEIRO DE FORMAS</v>
      </c>
      <c r="D61" s="77"/>
      <c r="E61" s="77"/>
      <c r="F61" s="77"/>
      <c r="G61" s="16" t="str">
        <f>VLOOKUP(B61,IF(A61="COMPOSICAO",S!$A:$D,I!$A:$D),3,FALSE)</f>
        <v>H</v>
      </c>
      <c r="H61" s="29">
        <v>8.2000000000000007E-3</v>
      </c>
      <c r="I61" s="17">
        <f>IF(A61="COMPOSICAO",VLOOKUP("TOTAL - "&amp;B61,COMPOSICAO_AUX_3!$A:$J,10,FALSE),VLOOKUP(B61,I!$A:$D,4,FALSE))</f>
        <v>14.93</v>
      </c>
      <c r="J61" s="80">
        <f>TRUNC(H61*I61,2)</f>
        <v>0.12</v>
      </c>
      <c r="K61" s="81"/>
    </row>
    <row r="62" spans="1:13" ht="15" customHeight="1" x14ac:dyDescent="0.25">
      <c r="A62" s="23" t="s">
        <v>738</v>
      </c>
      <c r="B62" s="24"/>
      <c r="C62" s="24"/>
      <c r="D62" s="24"/>
      <c r="E62" s="24"/>
      <c r="F62" s="24"/>
      <c r="G62" s="25"/>
      <c r="H62" s="26"/>
      <c r="I62" s="27"/>
      <c r="J62" s="80">
        <f>SUM(J60:K61)</f>
        <v>0.12</v>
      </c>
      <c r="K62" s="81"/>
    </row>
    <row r="63" spans="1:13" ht="15" customHeight="1" x14ac:dyDescent="0.25">
      <c r="A63" s="3"/>
      <c r="B63" s="3"/>
      <c r="C63" s="3"/>
      <c r="D63" s="3"/>
      <c r="E63" s="3"/>
      <c r="F63" s="3"/>
      <c r="G63" s="3"/>
      <c r="H63" s="3"/>
      <c r="I63" s="3"/>
      <c r="J63" s="3"/>
      <c r="K63" s="3"/>
    </row>
    <row r="64" spans="1:13" ht="15" customHeight="1" x14ac:dyDescent="0.25">
      <c r="A64" s="10" t="s">
        <v>295</v>
      </c>
      <c r="B64" s="10" t="s">
        <v>31</v>
      </c>
      <c r="C64" s="82" t="s">
        <v>7</v>
      </c>
      <c r="D64" s="83"/>
      <c r="E64" s="83"/>
      <c r="F64" s="83"/>
      <c r="G64" s="6" t="s">
        <v>32</v>
      </c>
      <c r="H64" s="6" t="s">
        <v>296</v>
      </c>
      <c r="I64" s="6" t="s">
        <v>297</v>
      </c>
      <c r="J64" s="57" t="s">
        <v>9</v>
      </c>
      <c r="K64" s="58"/>
    </row>
    <row r="65" spans="1:13" ht="30" customHeight="1" x14ac:dyDescent="0.25">
      <c r="A65" s="6" t="s">
        <v>502</v>
      </c>
      <c r="B65" s="28">
        <v>95378</v>
      </c>
      <c r="C65" s="91" t="str">
        <f>VLOOKUP(B65,S!$A:$D,2,FALSE)</f>
        <v>CURSO DE CAPACITAÇÃO PARA SERVENTE (ENCARGOS COMPLEMENTARES) - HORISTA</v>
      </c>
      <c r="D65" s="91"/>
      <c r="E65" s="91"/>
      <c r="F65" s="92"/>
      <c r="G65" s="6" t="str">
        <f>VLOOKUP(B65,S!$A:$D,3,FALSE)</f>
        <v>H</v>
      </c>
      <c r="H65" s="21"/>
      <c r="I65" s="21">
        <f>J67</f>
        <v>0.16</v>
      </c>
      <c r="J65" s="76"/>
      <c r="K65" s="72"/>
      <c r="L65" s="21">
        <f>VLOOKUP(B65,S!$A:$D,4,FALSE)</f>
        <v>0.16</v>
      </c>
      <c r="M65" s="6" t="str">
        <f>IF(ROUND((L65-I65),2)=0,"OK, confere com a tabela.",IF(ROUND((L65-I65),2)&lt;0,"ACIMA ("&amp;TEXT(ROUND(I65*100/L65,4),"0,0000")&amp;" %) da tabela.","ABAIXO ("&amp;TEXT(ROUND(I65*100/L65,4),"0,0000")&amp;" %) da tabela."))</f>
        <v>OK, confere com a tabela.</v>
      </c>
    </row>
    <row r="66" spans="1:13" ht="15" customHeight="1" x14ac:dyDescent="0.25">
      <c r="A66" s="16" t="s">
        <v>306</v>
      </c>
      <c r="B66" s="20">
        <v>6111</v>
      </c>
      <c r="C66" s="77" t="str">
        <f>VLOOKUP(B66,IF(A66="COMPOSICAO",S!$A:$D,I!$A:$D),2,FALSE)</f>
        <v>SERVENTE DE OBRAS</v>
      </c>
      <c r="D66" s="77"/>
      <c r="E66" s="77"/>
      <c r="F66" s="77"/>
      <c r="G66" s="16" t="str">
        <f>VLOOKUP(B66,IF(A66="COMPOSICAO",S!$A:$D,I!$A:$D),3,FALSE)</f>
        <v>H</v>
      </c>
      <c r="H66" s="29">
        <v>1.5100000000000001E-2</v>
      </c>
      <c r="I66" s="17">
        <f>IF(A66="COMPOSICAO",VLOOKUP("TOTAL - "&amp;B66,COMPOSICAO_AUX_3!$A:$J,10,FALSE),VLOOKUP(B66,I!$A:$D,4,FALSE))</f>
        <v>10.6</v>
      </c>
      <c r="J66" s="80">
        <f>TRUNC(H66*I66,2)</f>
        <v>0.16</v>
      </c>
      <c r="K66" s="81"/>
    </row>
    <row r="67" spans="1:13" ht="15" customHeight="1" x14ac:dyDescent="0.25">
      <c r="A67" s="23" t="s">
        <v>739</v>
      </c>
      <c r="B67" s="24"/>
      <c r="C67" s="24"/>
      <c r="D67" s="24"/>
      <c r="E67" s="24"/>
      <c r="F67" s="24"/>
      <c r="G67" s="25"/>
      <c r="H67" s="26"/>
      <c r="I67" s="27"/>
      <c r="J67" s="80">
        <f>SUM(J65:K66)</f>
        <v>0.16</v>
      </c>
      <c r="K67" s="81"/>
    </row>
    <row r="68" spans="1:13" ht="15" customHeight="1" x14ac:dyDescent="0.25">
      <c r="A68" s="3"/>
      <c r="B68" s="3"/>
      <c r="C68" s="3"/>
      <c r="D68" s="3"/>
      <c r="E68" s="3"/>
      <c r="F68" s="3"/>
      <c r="G68" s="3"/>
      <c r="H68" s="3"/>
      <c r="I68" s="3"/>
      <c r="J68" s="3"/>
      <c r="K68" s="3"/>
    </row>
    <row r="69" spans="1:13" ht="15" customHeight="1" x14ac:dyDescent="0.25">
      <c r="A69" s="10" t="s">
        <v>295</v>
      </c>
      <c r="B69" s="10" t="s">
        <v>31</v>
      </c>
      <c r="C69" s="82" t="s">
        <v>7</v>
      </c>
      <c r="D69" s="83"/>
      <c r="E69" s="83"/>
      <c r="F69" s="83"/>
      <c r="G69" s="6" t="s">
        <v>32</v>
      </c>
      <c r="H69" s="6" t="s">
        <v>296</v>
      </c>
      <c r="I69" s="6" t="s">
        <v>297</v>
      </c>
      <c r="J69" s="57" t="s">
        <v>9</v>
      </c>
      <c r="K69" s="58"/>
    </row>
    <row r="70" spans="1:13" ht="15" customHeight="1" x14ac:dyDescent="0.25">
      <c r="A70" s="6" t="s">
        <v>11</v>
      </c>
      <c r="B70" s="6" t="s">
        <v>319</v>
      </c>
      <c r="C70" s="91" t="str">
        <f>VLOOKUP(B70,S!$A:$D,2,FALSE)</f>
        <v>ENCARGOS COMPLEMENTARES - SERVENTE</v>
      </c>
      <c r="D70" s="91"/>
      <c r="E70" s="91"/>
      <c r="F70" s="92"/>
      <c r="G70" s="6" t="str">
        <f>VLOOKUP(B70,S!$A:$D,3,FALSE)</f>
        <v>H</v>
      </c>
      <c r="H70" s="21"/>
      <c r="I70" s="21">
        <f>J89</f>
        <v>2.9100000000000006</v>
      </c>
      <c r="J70" s="76"/>
      <c r="K70" s="72"/>
      <c r="L70" s="21">
        <f>VLOOKUP(B70,S!$A:$D,4,FALSE)</f>
        <v>2.98</v>
      </c>
      <c r="M70" s="6" t="str">
        <f>IF(ROUND((L70-I70),2)=0,"OK, confere com a tabela.",IF(ROUND((L70-I70),2)&lt;0,"ACIMA ("&amp;TEXT(ROUND(I70*100/L70,4),"0,0000")&amp;" %) da tabela.","ABAIXO ("&amp;TEXT(ROUND(I70*100/L70,4),"0,0000")&amp;" %) da tabela."))</f>
        <v>ABAIXO (97,6510 %) da tabela.</v>
      </c>
    </row>
    <row r="71" spans="1:13" ht="15" customHeight="1" x14ac:dyDescent="0.25">
      <c r="A71" s="16" t="s">
        <v>306</v>
      </c>
      <c r="B71" s="16" t="s">
        <v>519</v>
      </c>
      <c r="C71" s="77" t="str">
        <f>VLOOKUP(B71,IF(A71="COMPOSICAO",S!$A:$D,I!$A:$D),2,FALSE)</f>
        <v>ALMOÇO (PARTICIPAÇÃO DO EMPREGADOR)</v>
      </c>
      <c r="D71" s="77"/>
      <c r="E71" s="77"/>
      <c r="F71" s="77"/>
      <c r="G71" s="16" t="str">
        <f>VLOOKUP(B71,IF(A71="COMPOSICAO",S!$A:$D,I!$A:$D),3,FALSE)</f>
        <v>UN</v>
      </c>
      <c r="H71" s="29">
        <v>0.1018</v>
      </c>
      <c r="I71" s="17">
        <f>IF(A71="COMPOSICAO",VLOOKUP("TOTAL - "&amp;B71,COMPOSICAO_AUX_3!$A:$J,10,FALSE),VLOOKUP(B71,I!$A:$D,4,FALSE))</f>
        <v>10</v>
      </c>
      <c r="J71" s="80">
        <f t="shared" ref="J71:J88" si="2">TRUNC(H71*I71,2)</f>
        <v>1.01</v>
      </c>
      <c r="K71" s="81"/>
    </row>
    <row r="72" spans="1:13" ht="15" customHeight="1" x14ac:dyDescent="0.25">
      <c r="A72" s="16" t="s">
        <v>306</v>
      </c>
      <c r="B72" s="16" t="s">
        <v>520</v>
      </c>
      <c r="C72" s="77" t="str">
        <f>VLOOKUP(B72,IF(A72="COMPOSICAO",S!$A:$D,I!$A:$D),2,FALSE)</f>
        <v>FARDAMENTO</v>
      </c>
      <c r="D72" s="77"/>
      <c r="E72" s="77"/>
      <c r="F72" s="77"/>
      <c r="G72" s="16" t="str">
        <f>VLOOKUP(B72,IF(A72="COMPOSICAO",S!$A:$D,I!$A:$D),3,FALSE)</f>
        <v>UN</v>
      </c>
      <c r="H72" s="29">
        <v>1.5E-3</v>
      </c>
      <c r="I72" s="17">
        <f>IF(A72="COMPOSICAO",VLOOKUP("TOTAL - "&amp;B72,COMPOSICAO_AUX_3!$A:$J,10,FALSE),VLOOKUP(B72,I!$A:$D,4,FALSE))</f>
        <v>78.53</v>
      </c>
      <c r="J72" s="80">
        <f t="shared" si="2"/>
        <v>0.11</v>
      </c>
      <c r="K72" s="81"/>
    </row>
    <row r="73" spans="1:13" ht="15" customHeight="1" x14ac:dyDescent="0.25">
      <c r="A73" s="16" t="s">
        <v>306</v>
      </c>
      <c r="B73" s="16" t="s">
        <v>521</v>
      </c>
      <c r="C73" s="77" t="str">
        <f>VLOOKUP(B73,IF(A73="COMPOSICAO",S!$A:$D,I!$A:$D),2,FALSE)</f>
        <v>ÓCULOS BRANCO PROTEÇÃO</v>
      </c>
      <c r="D73" s="77"/>
      <c r="E73" s="77"/>
      <c r="F73" s="77"/>
      <c r="G73" s="16" t="str">
        <f>VLOOKUP(B73,IF(A73="COMPOSICAO",S!$A:$D,I!$A:$D),3,FALSE)</f>
        <v>PR</v>
      </c>
      <c r="H73" s="29">
        <v>8.0000000000000004E-4</v>
      </c>
      <c r="I73" s="17">
        <f>IF(A73="COMPOSICAO",VLOOKUP("TOTAL - "&amp;B73,COMPOSICAO_AUX_3!$A:$J,10,FALSE),VLOOKUP(B73,I!$A:$D,4,FALSE))</f>
        <v>5.9</v>
      </c>
      <c r="J73" s="80">
        <f t="shared" si="2"/>
        <v>0</v>
      </c>
      <c r="K73" s="81"/>
    </row>
    <row r="74" spans="1:13" ht="15" customHeight="1" x14ac:dyDescent="0.25">
      <c r="A74" s="16" t="s">
        <v>306</v>
      </c>
      <c r="B74" s="16" t="s">
        <v>522</v>
      </c>
      <c r="C74" s="77" t="str">
        <f>VLOOKUP(B74,IF(A74="COMPOSICAO",S!$A:$D,I!$A:$D),2,FALSE)</f>
        <v>VALE TRANSPORTE</v>
      </c>
      <c r="D74" s="77"/>
      <c r="E74" s="77"/>
      <c r="F74" s="77"/>
      <c r="G74" s="16" t="str">
        <f>VLOOKUP(B74,IF(A74="COMPOSICAO",S!$A:$D,I!$A:$D),3,FALSE)</f>
        <v>UN</v>
      </c>
      <c r="H74" s="29">
        <v>9.4100000000000003E-2</v>
      </c>
      <c r="I74" s="17">
        <f>IF(A74="COMPOSICAO",VLOOKUP("TOTAL - "&amp;B74,COMPOSICAO_AUX_3!$A:$J,10,FALSE),VLOOKUP(B74,I!$A:$D,4,FALSE))</f>
        <v>4</v>
      </c>
      <c r="J74" s="80">
        <f t="shared" si="2"/>
        <v>0.37</v>
      </c>
      <c r="K74" s="81"/>
    </row>
    <row r="75" spans="1:13" ht="15" customHeight="1" x14ac:dyDescent="0.25">
      <c r="A75" s="16" t="s">
        <v>306</v>
      </c>
      <c r="B75" s="16" t="s">
        <v>523</v>
      </c>
      <c r="C75" s="77" t="str">
        <f>VLOOKUP(B75,IF(A75="COMPOSICAO",S!$A:$D,I!$A:$D),2,FALSE)</f>
        <v>TALHADEIRA CHATA 10"</v>
      </c>
      <c r="D75" s="77"/>
      <c r="E75" s="77"/>
      <c r="F75" s="77"/>
      <c r="G75" s="16" t="str">
        <f>VLOOKUP(B75,IF(A75="COMPOSICAO",S!$A:$D,I!$A:$D),3,FALSE)</f>
        <v>UN</v>
      </c>
      <c r="H75" s="29">
        <v>2.9999999999999997E-4</v>
      </c>
      <c r="I75" s="17">
        <f>IF(A75="COMPOSICAO",VLOOKUP("TOTAL - "&amp;B75,COMPOSICAO_AUX_3!$A:$J,10,FALSE),VLOOKUP(B75,I!$A:$D,4,FALSE))</f>
        <v>13.85</v>
      </c>
      <c r="J75" s="80">
        <f t="shared" si="2"/>
        <v>0</v>
      </c>
      <c r="K75" s="81"/>
    </row>
    <row r="76" spans="1:13" ht="15" customHeight="1" x14ac:dyDescent="0.25">
      <c r="A76" s="16" t="s">
        <v>306</v>
      </c>
      <c r="B76" s="16" t="s">
        <v>524</v>
      </c>
      <c r="C76" s="77" t="str">
        <f>VLOOKUP(B76,IF(A76="COMPOSICAO",S!$A:$D,I!$A:$D),2,FALSE)</f>
        <v>MARRETA 1 KG COM CABO</v>
      </c>
      <c r="D76" s="77"/>
      <c r="E76" s="77"/>
      <c r="F76" s="77"/>
      <c r="G76" s="16" t="str">
        <f>VLOOKUP(B76,IF(A76="COMPOSICAO",S!$A:$D,I!$A:$D),3,FALSE)</f>
        <v>UN</v>
      </c>
      <c r="H76" s="29">
        <v>1E-4</v>
      </c>
      <c r="I76" s="17">
        <f>IF(A76="COMPOSICAO",VLOOKUP("TOTAL - "&amp;B76,COMPOSICAO_AUX_3!$A:$J,10,FALSE),VLOOKUP(B76,I!$A:$D,4,FALSE))</f>
        <v>27.5</v>
      </c>
      <c r="J76" s="80">
        <f t="shared" si="2"/>
        <v>0</v>
      </c>
      <c r="K76" s="81"/>
    </row>
    <row r="77" spans="1:13" ht="15" customHeight="1" x14ac:dyDescent="0.25">
      <c r="A77" s="16" t="s">
        <v>306</v>
      </c>
      <c r="B77" s="16" t="s">
        <v>525</v>
      </c>
      <c r="C77" s="77" t="str">
        <f>VLOOKUP(B77,IF(A77="COMPOSICAO",S!$A:$D,I!$A:$D),2,FALSE)</f>
        <v>SEGURO DE VIDA E ACIDENTE EM GRUPO</v>
      </c>
      <c r="D77" s="77"/>
      <c r="E77" s="77"/>
      <c r="F77" s="77"/>
      <c r="G77" s="16" t="str">
        <f>VLOOKUP(B77,IF(A77="COMPOSICAO",S!$A:$D,I!$A:$D),3,FALSE)</f>
        <v>UN</v>
      </c>
      <c r="H77" s="29">
        <v>4.4999999999999997E-3</v>
      </c>
      <c r="I77" s="17">
        <f>IF(A77="COMPOSICAO",VLOOKUP("TOTAL - "&amp;B77,COMPOSICAO_AUX_3!$A:$J,10,FALSE),VLOOKUP(B77,I!$A:$D,4,FALSE))</f>
        <v>12.54</v>
      </c>
      <c r="J77" s="80">
        <f t="shared" si="2"/>
        <v>0.05</v>
      </c>
      <c r="K77" s="81"/>
    </row>
    <row r="78" spans="1:13" ht="15" customHeight="1" x14ac:dyDescent="0.25">
      <c r="A78" s="16" t="s">
        <v>306</v>
      </c>
      <c r="B78" s="16" t="s">
        <v>526</v>
      </c>
      <c r="C78" s="77" t="str">
        <f>VLOOKUP(B78,IF(A78="COMPOSICAO",S!$A:$D,I!$A:$D),2,FALSE)</f>
        <v>CESTA BÁSICA</v>
      </c>
      <c r="D78" s="77"/>
      <c r="E78" s="77"/>
      <c r="F78" s="77"/>
      <c r="G78" s="16" t="str">
        <f>VLOOKUP(B78,IF(A78="COMPOSICAO",S!$A:$D,I!$A:$D),3,FALSE)</f>
        <v>UN</v>
      </c>
      <c r="H78" s="29">
        <v>4.4999999999999997E-3</v>
      </c>
      <c r="I78" s="17">
        <f>IF(A78="COMPOSICAO",VLOOKUP("TOTAL - "&amp;B78,COMPOSICAO_AUX_3!$A:$J,10,FALSE),VLOOKUP(B78,I!$A:$D,4,FALSE))</f>
        <v>140</v>
      </c>
      <c r="J78" s="80">
        <f t="shared" si="2"/>
        <v>0.63</v>
      </c>
      <c r="K78" s="81"/>
    </row>
    <row r="79" spans="1:13" ht="15" customHeight="1" x14ac:dyDescent="0.25">
      <c r="A79" s="16" t="s">
        <v>306</v>
      </c>
      <c r="B79" s="16" t="s">
        <v>527</v>
      </c>
      <c r="C79" s="77" t="str">
        <f>VLOOKUP(B79,IF(A79="COMPOSICAO",S!$A:$D,I!$A:$D),2,FALSE)</f>
        <v>EXAMES ADMISSIONAIS/DEMISSIONAIS (CHECKUP)</v>
      </c>
      <c r="D79" s="77"/>
      <c r="E79" s="77"/>
      <c r="F79" s="77"/>
      <c r="G79" s="16" t="str">
        <f>VLOOKUP(B79,IF(A79="COMPOSICAO",S!$A:$D,I!$A:$D),3,FALSE)</f>
        <v>CJ</v>
      </c>
      <c r="H79" s="29">
        <v>4.0000000000000002E-4</v>
      </c>
      <c r="I79" s="17">
        <f>IF(A79="COMPOSICAO",VLOOKUP("TOTAL - "&amp;B79,COMPOSICAO_AUX_3!$A:$J,10,FALSE),VLOOKUP(B79,I!$A:$D,4,FALSE))</f>
        <v>300</v>
      </c>
      <c r="J79" s="80">
        <f t="shared" si="2"/>
        <v>0.12</v>
      </c>
      <c r="K79" s="81"/>
    </row>
    <row r="80" spans="1:13" ht="15" customHeight="1" x14ac:dyDescent="0.25">
      <c r="A80" s="16" t="s">
        <v>306</v>
      </c>
      <c r="B80" s="16" t="s">
        <v>528</v>
      </c>
      <c r="C80" s="77" t="str">
        <f>VLOOKUP(B80,IF(A80="COMPOSICAO",S!$A:$D,I!$A:$D),2,FALSE)</f>
        <v>PROTETOR AURICULAR</v>
      </c>
      <c r="D80" s="77"/>
      <c r="E80" s="77"/>
      <c r="F80" s="77"/>
      <c r="G80" s="16" t="str">
        <f>VLOOKUP(B80,IF(A80="COMPOSICAO",S!$A:$D,I!$A:$D),3,FALSE)</f>
        <v>UN</v>
      </c>
      <c r="H80" s="29">
        <v>4.4999999999999997E-3</v>
      </c>
      <c r="I80" s="17">
        <f>IF(A80="COMPOSICAO",VLOOKUP("TOTAL - "&amp;B80,COMPOSICAO_AUX_3!$A:$J,10,FALSE),VLOOKUP(B80,I!$A:$D,4,FALSE))</f>
        <v>4.9000000000000004</v>
      </c>
      <c r="J80" s="80">
        <f t="shared" si="2"/>
        <v>0.02</v>
      </c>
      <c r="K80" s="81"/>
    </row>
    <row r="81" spans="1:13" ht="15" customHeight="1" x14ac:dyDescent="0.25">
      <c r="A81" s="16" t="s">
        <v>306</v>
      </c>
      <c r="B81" s="16" t="s">
        <v>529</v>
      </c>
      <c r="C81" s="77" t="str">
        <f>VLOOKUP(B81,IF(A81="COMPOSICAO",S!$A:$D,I!$A:$D),2,FALSE)</f>
        <v>PROTETOR SOLAR FPS 30 COM 120ML</v>
      </c>
      <c r="D81" s="77"/>
      <c r="E81" s="77"/>
      <c r="F81" s="77"/>
      <c r="G81" s="16" t="str">
        <f>VLOOKUP(B81,IF(A81="COMPOSICAO",S!$A:$D,I!$A:$D),3,FALSE)</f>
        <v>UN</v>
      </c>
      <c r="H81" s="29">
        <v>1.8E-3</v>
      </c>
      <c r="I81" s="17">
        <f>IF(A81="COMPOSICAO",VLOOKUP("TOTAL - "&amp;B81,COMPOSICAO_AUX_3!$A:$J,10,FALSE),VLOOKUP(B81,I!$A:$D,4,FALSE))</f>
        <v>35.9</v>
      </c>
      <c r="J81" s="80">
        <f t="shared" si="2"/>
        <v>0.06</v>
      </c>
      <c r="K81" s="81"/>
    </row>
    <row r="82" spans="1:13" ht="30" customHeight="1" x14ac:dyDescent="0.25">
      <c r="A82" s="16" t="s">
        <v>306</v>
      </c>
      <c r="B82" s="16" t="s">
        <v>530</v>
      </c>
      <c r="C82" s="77" t="str">
        <f>VLOOKUP(B82,IF(A82="COMPOSICAO",S!$A:$D,I!$A:$D),2,FALSE)</f>
        <v>REFEIÇÃO - CAFÉ DA MANHÃ ( CAFÉ COM LEITE E DOIS PÃES COM MANTEIGA)</v>
      </c>
      <c r="D82" s="77"/>
      <c r="E82" s="77"/>
      <c r="F82" s="77"/>
      <c r="G82" s="16" t="str">
        <f>VLOOKUP(B82,IF(A82="COMPOSICAO",S!$A:$D,I!$A:$D),3,FALSE)</f>
        <v>UN</v>
      </c>
      <c r="H82" s="29">
        <v>0.1018</v>
      </c>
      <c r="I82" s="17">
        <f>IF(A82="COMPOSICAO",VLOOKUP("TOTAL - "&amp;B82,COMPOSICAO_AUX_3!$A:$J,10,FALSE),VLOOKUP(B82,I!$A:$D,4,FALSE))</f>
        <v>4.5</v>
      </c>
      <c r="J82" s="80">
        <f t="shared" si="2"/>
        <v>0.45</v>
      </c>
      <c r="K82" s="81"/>
    </row>
    <row r="83" spans="1:13" ht="15" customHeight="1" x14ac:dyDescent="0.25">
      <c r="A83" s="16" t="s">
        <v>306</v>
      </c>
      <c r="B83" s="16" t="s">
        <v>531</v>
      </c>
      <c r="C83" s="77" t="str">
        <f>VLOOKUP(B83,IF(A83="COMPOSICAO",S!$A:$D,I!$A:$D),2,FALSE)</f>
        <v>PÁ QUADRADA</v>
      </c>
      <c r="D83" s="77"/>
      <c r="E83" s="77"/>
      <c r="F83" s="77"/>
      <c r="G83" s="16" t="str">
        <f>VLOOKUP(B83,IF(A83="COMPOSICAO",S!$A:$D,I!$A:$D),3,FALSE)</f>
        <v>UN</v>
      </c>
      <c r="H83" s="29">
        <v>2.0000000000000001E-4</v>
      </c>
      <c r="I83" s="17">
        <f>IF(A83="COMPOSICAO",VLOOKUP("TOTAL - "&amp;B83,COMPOSICAO_AUX_3!$A:$J,10,FALSE),VLOOKUP(B83,I!$A:$D,4,FALSE))</f>
        <v>17.29</v>
      </c>
      <c r="J83" s="80">
        <f t="shared" si="2"/>
        <v>0</v>
      </c>
      <c r="K83" s="81"/>
    </row>
    <row r="84" spans="1:13" ht="30" customHeight="1" x14ac:dyDescent="0.25">
      <c r="A84" s="16" t="s">
        <v>306</v>
      </c>
      <c r="B84" s="20">
        <v>2711</v>
      </c>
      <c r="C84" s="77" t="str">
        <f>VLOOKUP(B84,IF(A84="COMPOSICAO",S!$A:$D,I!$A:$D),2,FALSE)</f>
        <v>CARRINHO DE MAO DE ACO CAPACIDADE 50 A 60 L, PNEU COM CAMARA</v>
      </c>
      <c r="D84" s="77"/>
      <c r="E84" s="77"/>
      <c r="F84" s="77"/>
      <c r="G84" s="16" t="str">
        <f>VLOOKUP(B84,IF(A84="COMPOSICAO",S!$A:$D,I!$A:$D),3,FALSE)</f>
        <v>UN</v>
      </c>
      <c r="H84" s="29">
        <v>2.0000000000000001E-4</v>
      </c>
      <c r="I84" s="17">
        <f>IF(A84="COMPOSICAO",VLOOKUP("TOTAL - "&amp;B84,COMPOSICAO_AUX_3!$A:$J,10,FALSE),VLOOKUP(B84,I!$A:$D,4,FALSE))</f>
        <v>127.67</v>
      </c>
      <c r="J84" s="80">
        <f t="shared" si="2"/>
        <v>0.02</v>
      </c>
      <c r="K84" s="81"/>
    </row>
    <row r="85" spans="1:13" ht="30" customHeight="1" x14ac:dyDescent="0.25">
      <c r="A85" s="16" t="s">
        <v>306</v>
      </c>
      <c r="B85" s="20">
        <v>12892</v>
      </c>
      <c r="C85" s="77" t="str">
        <f>VLOOKUP(B85,IF(A85="COMPOSICAO",S!$A:$D,I!$A:$D),2,FALSE)</f>
        <v>LUVA RASPA DE COURO, CANO CURTO (PUNHO *7* CM)</v>
      </c>
      <c r="D85" s="77"/>
      <c r="E85" s="77"/>
      <c r="F85" s="77"/>
      <c r="G85" s="16" t="str">
        <f>VLOOKUP(B85,IF(A85="COMPOSICAO",S!$A:$D,I!$A:$D),3,FALSE)</f>
        <v>PAR</v>
      </c>
      <c r="H85" s="29">
        <v>2.3E-3</v>
      </c>
      <c r="I85" s="17">
        <f>IF(A85="COMPOSICAO",VLOOKUP("TOTAL - "&amp;B85,COMPOSICAO_AUX_3!$A:$J,10,FALSE),VLOOKUP(B85,I!$A:$D,4,FALSE))</f>
        <v>12.91</v>
      </c>
      <c r="J85" s="80">
        <f t="shared" si="2"/>
        <v>0.02</v>
      </c>
      <c r="K85" s="81"/>
    </row>
    <row r="86" spans="1:13" ht="30" customHeight="1" x14ac:dyDescent="0.25">
      <c r="A86" s="16" t="s">
        <v>306</v>
      </c>
      <c r="B86" s="20">
        <v>12893</v>
      </c>
      <c r="C86" s="77" t="str">
        <f>VLOOKUP(B86,IF(A86="COMPOSICAO",S!$A:$D,I!$A:$D),2,FALSE)</f>
        <v>BOTA DE SEGURANCA COM BIQUEIRA DE ACO E COLARINHO ACOLCHOADO</v>
      </c>
      <c r="D86" s="77"/>
      <c r="E86" s="77"/>
      <c r="F86" s="77"/>
      <c r="G86" s="16" t="str">
        <f>VLOOKUP(B86,IF(A86="COMPOSICAO",S!$A:$D,I!$A:$D),3,FALSE)</f>
        <v>PAR</v>
      </c>
      <c r="H86" s="29">
        <v>8.0000000000000004E-4</v>
      </c>
      <c r="I86" s="17">
        <f>IF(A86="COMPOSICAO",VLOOKUP("TOTAL - "&amp;B86,COMPOSICAO_AUX_3!$A:$J,10,FALSE),VLOOKUP(B86,I!$A:$D,4,FALSE))</f>
        <v>68.88</v>
      </c>
      <c r="J86" s="80">
        <f t="shared" si="2"/>
        <v>0.05</v>
      </c>
      <c r="K86" s="81"/>
    </row>
    <row r="87" spans="1:13" ht="30" customHeight="1" x14ac:dyDescent="0.25">
      <c r="A87" s="16" t="s">
        <v>306</v>
      </c>
      <c r="B87" s="20">
        <v>12894</v>
      </c>
      <c r="C87" s="77" t="str">
        <f>VLOOKUP(B87,IF(A87="COMPOSICAO",S!$A:$D,I!$A:$D),2,FALSE)</f>
        <v>CAPA PARA CHUVA EM PVC COM FORRO DE POLIESTER, COM CAPUZ (AMARELA OU AZUL)</v>
      </c>
      <c r="D87" s="77"/>
      <c r="E87" s="77"/>
      <c r="F87" s="77"/>
      <c r="G87" s="16" t="str">
        <f>VLOOKUP(B87,IF(A87="COMPOSICAO",S!$A:$D,I!$A:$D),3,FALSE)</f>
        <v>UN</v>
      </c>
      <c r="H87" s="29">
        <v>2.0000000000000001E-4</v>
      </c>
      <c r="I87" s="17">
        <f>IF(A87="COMPOSICAO",VLOOKUP("TOTAL - "&amp;B87,COMPOSICAO_AUX_3!$A:$J,10,FALSE),VLOOKUP(B87,I!$A:$D,4,FALSE))</f>
        <v>18.649999999999999</v>
      </c>
      <c r="J87" s="80">
        <f t="shared" si="2"/>
        <v>0</v>
      </c>
      <c r="K87" s="81"/>
    </row>
    <row r="88" spans="1:13" ht="30" customHeight="1" x14ac:dyDescent="0.25">
      <c r="A88" s="16" t="s">
        <v>306</v>
      </c>
      <c r="B88" s="20">
        <v>12895</v>
      </c>
      <c r="C88" s="77" t="str">
        <f>VLOOKUP(B88,IF(A88="COMPOSICAO",S!$A:$D,I!$A:$D),2,FALSE)</f>
        <v>CAPACETE DE SEGURANCA ABA FRONTAL COM SUSPENSAO DE POLIETILENO, SEM JUGULAR (CLASSE B)</v>
      </c>
      <c r="D88" s="77"/>
      <c r="E88" s="77"/>
      <c r="F88" s="77"/>
      <c r="G88" s="16" t="str">
        <f>VLOOKUP(B88,IF(A88="COMPOSICAO",S!$A:$D,I!$A:$D),3,FALSE)</f>
        <v>UN</v>
      </c>
      <c r="H88" s="29">
        <v>5.9999999999999995E-4</v>
      </c>
      <c r="I88" s="17">
        <f>IF(A88="COMPOSICAO",VLOOKUP("TOTAL - "&amp;B88,COMPOSICAO_AUX_3!$A:$J,10,FALSE),VLOOKUP(B88,I!$A:$D,4,FALSE))</f>
        <v>14.35</v>
      </c>
      <c r="J88" s="80">
        <f t="shared" si="2"/>
        <v>0</v>
      </c>
      <c r="K88" s="81"/>
    </row>
    <row r="89" spans="1:13" ht="15" customHeight="1" x14ac:dyDescent="0.25">
      <c r="A89" s="23" t="s">
        <v>532</v>
      </c>
      <c r="B89" s="24"/>
      <c r="C89" s="24"/>
      <c r="D89" s="24"/>
      <c r="E89" s="24"/>
      <c r="F89" s="24"/>
      <c r="G89" s="25"/>
      <c r="H89" s="26"/>
      <c r="I89" s="27"/>
      <c r="J89" s="80">
        <f>SUM(J70:K88)</f>
        <v>2.9100000000000006</v>
      </c>
      <c r="K89" s="81"/>
    </row>
    <row r="90" spans="1:13" ht="15" customHeight="1" x14ac:dyDescent="0.25">
      <c r="A90" s="3"/>
      <c r="B90" s="3"/>
      <c r="C90" s="3"/>
      <c r="D90" s="3"/>
      <c r="E90" s="3"/>
      <c r="F90" s="3"/>
      <c r="G90" s="3"/>
      <c r="H90" s="3"/>
      <c r="I90" s="3"/>
      <c r="J90" s="3"/>
      <c r="K90" s="3"/>
    </row>
    <row r="91" spans="1:13" ht="15" customHeight="1" x14ac:dyDescent="0.25">
      <c r="A91" s="10" t="s">
        <v>295</v>
      </c>
      <c r="B91" s="10" t="s">
        <v>31</v>
      </c>
      <c r="C91" s="82" t="s">
        <v>7</v>
      </c>
      <c r="D91" s="83"/>
      <c r="E91" s="83"/>
      <c r="F91" s="83"/>
      <c r="G91" s="6" t="s">
        <v>32</v>
      </c>
      <c r="H91" s="6" t="s">
        <v>296</v>
      </c>
      <c r="I91" s="6" t="s">
        <v>297</v>
      </c>
      <c r="J91" s="57" t="s">
        <v>9</v>
      </c>
      <c r="K91" s="58"/>
    </row>
    <row r="92" spans="1:13" ht="30" customHeight="1" x14ac:dyDescent="0.25">
      <c r="A92" s="6" t="s">
        <v>11</v>
      </c>
      <c r="B92" s="6" t="s">
        <v>515</v>
      </c>
      <c r="C92" s="91" t="str">
        <f>VLOOKUP(B92,S!$A:$D,2,FALSE)</f>
        <v>CONCRETO SIMPLES USINADO FCK=21MPA, BOMBEADO, LANÇADO E ADENSADO EM SUPERESTRUTURA</v>
      </c>
      <c r="D92" s="91"/>
      <c r="E92" s="91"/>
      <c r="F92" s="92"/>
      <c r="G92" s="6" t="str">
        <f>VLOOKUP(B92,S!$A:$D,3,FALSE)</f>
        <v>M3</v>
      </c>
      <c r="H92" s="21"/>
      <c r="I92" s="21">
        <f>J96</f>
        <v>445.86</v>
      </c>
      <c r="J92" s="76"/>
      <c r="K92" s="72"/>
      <c r="L92" s="21">
        <f>VLOOKUP(B92,S!$A:$D,4,FALSE)</f>
        <v>401.04</v>
      </c>
      <c r="M92" s="6" t="str">
        <f>IF(ROUND((L92-I92),2)=0,"OK, confere com a tabela.",IF(ROUND((L92-I92),2)&lt;0,"ACIMA ("&amp;TEXT(ROUND(I92*100/L92,4),"0,0000")&amp;" %) da tabela.","ABAIXO ("&amp;TEXT(ROUND(I92*100/L92,4),"0,0000")&amp;" %) da tabela."))</f>
        <v>ACIMA (111,1759 %) da tabela.</v>
      </c>
    </row>
    <row r="93" spans="1:13" ht="30" customHeight="1" x14ac:dyDescent="0.25">
      <c r="A93" s="16" t="s">
        <v>306</v>
      </c>
      <c r="B93" s="20">
        <v>25950</v>
      </c>
      <c r="C93" s="77" t="str">
        <f>VLOOKUP(B93,IF(A93="COMPOSICAO",S!$A:$D,I!$A:$D),2,FALSE)</f>
        <v>SERVICO DE BOMBEAMENTO DE CONCRETO COM CONSUMO MINIMO DE 40 M3</v>
      </c>
      <c r="D93" s="77"/>
      <c r="E93" s="77"/>
      <c r="F93" s="77"/>
      <c r="G93" s="16" t="str">
        <f>VLOOKUP(B93,IF(A93="COMPOSICAO",S!$A:$D,I!$A:$D),3,FALSE)</f>
        <v>M3</v>
      </c>
      <c r="H93" s="17">
        <v>1</v>
      </c>
      <c r="I93" s="17">
        <f>IF(A93="COMPOSICAO",VLOOKUP("TOTAL - "&amp;B93,COMPOSICAO_AUX_3!$A:$J,10,FALSE),VLOOKUP(B93,I!$A:$D,4,FALSE))</f>
        <v>38.04</v>
      </c>
      <c r="J93" s="80">
        <f>TRUNC(H93*I93,2)</f>
        <v>38.04</v>
      </c>
      <c r="K93" s="81"/>
    </row>
    <row r="94" spans="1:13" ht="45" customHeight="1" x14ac:dyDescent="0.25">
      <c r="A94" s="16" t="s">
        <v>306</v>
      </c>
      <c r="B94" s="20">
        <v>34492</v>
      </c>
      <c r="C94" s="77" t="str">
        <f>VLOOKUP(B94,IF(A94="COMPOSICAO",S!$A:$D,I!$A:$D),2,FALSE)</f>
        <v>CONCRETO USINADO BOMBEAVEL, CLASSE DE RESISTENCIA C20, COM BRITA 0 E 1, SLUMP = 100 +/- 20 MM, EXCLUI SERVICO DE BOMBEAMENTO (NBR 8953)</v>
      </c>
      <c r="D94" s="77"/>
      <c r="E94" s="77"/>
      <c r="F94" s="77"/>
      <c r="G94" s="16" t="str">
        <f>VLOOKUP(B94,IF(A94="COMPOSICAO",S!$A:$D,I!$A:$D),3,FALSE)</f>
        <v>M3</v>
      </c>
      <c r="H94" s="17">
        <v>1</v>
      </c>
      <c r="I94" s="17">
        <f>IF(A94="COMPOSICAO",VLOOKUP("TOTAL - "&amp;B94,COMPOSICAO_AUX_3!$A:$J,10,FALSE),VLOOKUP(B94,I!$A:$D,4,FALSE))</f>
        <v>370</v>
      </c>
      <c r="J94" s="80">
        <f>TRUNC(H94*I94,2)</f>
        <v>370</v>
      </c>
      <c r="K94" s="81"/>
    </row>
    <row r="95" spans="1:13" ht="45" customHeight="1" x14ac:dyDescent="0.25">
      <c r="A95" s="16" t="s">
        <v>302</v>
      </c>
      <c r="B95" s="16" t="s">
        <v>740</v>
      </c>
      <c r="C95" s="77" t="str">
        <f>VLOOKUP(B95,IF(A95="COMPOSICAO",S!$A:$D,I!$A:$D),2,FALSE)</f>
        <v>LANÇAMENTO DE CONCRETO USINADO, BOMBEADO, EM PEÇAS ARMADAS DA SUPERESTRUTURA, INCLUSIVE COLOCAÇÃO, ADENSAMENTO E ACABAMENTO</v>
      </c>
      <c r="D95" s="77"/>
      <c r="E95" s="77"/>
      <c r="F95" s="77"/>
      <c r="G95" s="16" t="str">
        <f>VLOOKUP(B95,IF(A95="COMPOSICAO",S!$A:$D,I!$A:$D),3,FALSE)</f>
        <v>M3</v>
      </c>
      <c r="H95" s="17">
        <v>1</v>
      </c>
      <c r="I95" s="17">
        <f>IF(A95="COMPOSICAO",VLOOKUP("TOTAL - "&amp;B95,COMPOSICAO_AUX_3!$A:$J,10,FALSE),VLOOKUP(B95,I!$A:$D,4,FALSE))</f>
        <v>37.820000000000007</v>
      </c>
      <c r="J95" s="80">
        <f>TRUNC(H95*I95,2)</f>
        <v>37.82</v>
      </c>
      <c r="K95" s="81"/>
    </row>
    <row r="96" spans="1:13" ht="15" customHeight="1" x14ac:dyDescent="0.25">
      <c r="A96" s="23" t="s">
        <v>741</v>
      </c>
      <c r="B96" s="24"/>
      <c r="C96" s="24"/>
      <c r="D96" s="24"/>
      <c r="E96" s="24"/>
      <c r="F96" s="24"/>
      <c r="G96" s="25"/>
      <c r="H96" s="26"/>
      <c r="I96" s="27"/>
      <c r="J96" s="80">
        <f>SUM(J92:K95)</f>
        <v>445.86</v>
      </c>
      <c r="K96" s="81"/>
    </row>
    <row r="97" spans="1:13" ht="15" customHeight="1" x14ac:dyDescent="0.25">
      <c r="A97" s="3"/>
      <c r="B97" s="3"/>
      <c r="C97" s="3"/>
      <c r="D97" s="3"/>
      <c r="E97" s="3"/>
      <c r="F97" s="3"/>
      <c r="G97" s="3"/>
      <c r="H97" s="3"/>
      <c r="I97" s="3"/>
      <c r="J97" s="3"/>
      <c r="K97" s="3"/>
    </row>
    <row r="98" spans="1:13" ht="15" customHeight="1" x14ac:dyDescent="0.25">
      <c r="A98" s="10" t="s">
        <v>295</v>
      </c>
      <c r="B98" s="10" t="s">
        <v>31</v>
      </c>
      <c r="C98" s="82" t="s">
        <v>7</v>
      </c>
      <c r="D98" s="83"/>
      <c r="E98" s="83"/>
      <c r="F98" s="83"/>
      <c r="G98" s="6" t="s">
        <v>32</v>
      </c>
      <c r="H98" s="6" t="s">
        <v>296</v>
      </c>
      <c r="I98" s="6" t="s">
        <v>297</v>
      </c>
      <c r="J98" s="57" t="s">
        <v>9</v>
      </c>
      <c r="K98" s="58"/>
    </row>
    <row r="99" spans="1:13" ht="60" customHeight="1" x14ac:dyDescent="0.25">
      <c r="A99" s="6" t="s">
        <v>11</v>
      </c>
      <c r="B99" s="6" t="s">
        <v>516</v>
      </c>
      <c r="C99" s="91" t="str">
        <f>VLOOKUP(B99,S!$A:$D,2,FALSE)</f>
        <v>AÇO CA - 60 Ø 4,2 A 9,5MM, INCLUSIVE CORTE, DOBRAGEM, MONTAGEM E COLOCACAO DE FERRAGENS NAS FORMAS, PARA SUPERESTRUTURAS E FUNDAÇÕES - R1</v>
      </c>
      <c r="D99" s="91"/>
      <c r="E99" s="91"/>
      <c r="F99" s="92"/>
      <c r="G99" s="6" t="str">
        <f>VLOOKUP(B99,S!$A:$D,3,FALSE)</f>
        <v>KG</v>
      </c>
      <c r="H99" s="21"/>
      <c r="I99" s="21">
        <f>J108</f>
        <v>13.729999999999999</v>
      </c>
      <c r="J99" s="76"/>
      <c r="K99" s="72"/>
      <c r="L99" s="21">
        <f>VLOOKUP(B99,S!$A:$D,4,FALSE)</f>
        <v>13.66</v>
      </c>
      <c r="M99" s="6" t="str">
        <f>IF(ROUND((L99-I99),2)=0,"OK, confere com a tabela.",IF(ROUND((L99-I99),2)&lt;0,"ACIMA ("&amp;TEXT(ROUND(I99*100/L99,4),"0,0000")&amp;" %) da tabela.","ABAIXO ("&amp;TEXT(ROUND(I99*100/L99,4),"0,0000")&amp;" %) da tabela."))</f>
        <v>ACIMA (100,5124 %) da tabela.</v>
      </c>
    </row>
    <row r="100" spans="1:13" ht="15" customHeight="1" x14ac:dyDescent="0.25">
      <c r="A100" s="16" t="s">
        <v>306</v>
      </c>
      <c r="B100" s="16" t="s">
        <v>742</v>
      </c>
      <c r="C100" s="77" t="str">
        <f>VLOOKUP(B100,IF(A100="COMPOSICAO",S!$A:$D,I!$A:$D),2,FALSE)</f>
        <v>AÇO CA-60   4,2 A 9,5 MM</v>
      </c>
      <c r="D100" s="77"/>
      <c r="E100" s="77"/>
      <c r="F100" s="77"/>
      <c r="G100" s="16" t="str">
        <f>VLOOKUP(B100,IF(A100="COMPOSICAO",S!$A:$D,I!$A:$D),3,FALSE)</f>
        <v>KG</v>
      </c>
      <c r="H100" s="17">
        <v>1</v>
      </c>
      <c r="I100" s="17">
        <f>IF(A100="COMPOSICAO",VLOOKUP("TOTAL - "&amp;B100,COMPOSICAO_AUX_3!$A:$J,10,FALSE),VLOOKUP(B100,I!$A:$D,4,FALSE))</f>
        <v>10.89</v>
      </c>
      <c r="J100" s="80">
        <f t="shared" ref="J100:J107" si="3">TRUNC(H100*I100,2)</f>
        <v>10.89</v>
      </c>
      <c r="K100" s="81"/>
    </row>
    <row r="101" spans="1:13" ht="15" customHeight="1" x14ac:dyDescent="0.25">
      <c r="A101" s="16" t="s">
        <v>306</v>
      </c>
      <c r="B101" s="20">
        <v>378</v>
      </c>
      <c r="C101" s="77" t="str">
        <f>VLOOKUP(B101,IF(A101="COMPOSICAO",S!$A:$D,I!$A:$D),2,FALSE)</f>
        <v>ARMADOR</v>
      </c>
      <c r="D101" s="77"/>
      <c r="E101" s="77"/>
      <c r="F101" s="77"/>
      <c r="G101" s="16" t="str">
        <f>VLOOKUP(B101,IF(A101="COMPOSICAO",S!$A:$D,I!$A:$D),3,FALSE)</f>
        <v>H</v>
      </c>
      <c r="H101" s="17">
        <v>7.0000000000000007E-2</v>
      </c>
      <c r="I101" s="17">
        <f>IF(A101="COMPOSICAO",VLOOKUP("TOTAL - "&amp;B101,COMPOSICAO_AUX_3!$A:$J,10,FALSE),VLOOKUP(B101,I!$A:$D,4,FALSE))</f>
        <v>14.93</v>
      </c>
      <c r="J101" s="80">
        <f t="shared" si="3"/>
        <v>1.04</v>
      </c>
      <c r="K101" s="81"/>
    </row>
    <row r="102" spans="1:13" ht="15" customHeight="1" x14ac:dyDescent="0.25">
      <c r="A102" s="16" t="s">
        <v>306</v>
      </c>
      <c r="B102" s="20">
        <v>6111</v>
      </c>
      <c r="C102" s="77" t="str">
        <f>VLOOKUP(B102,IF(A102="COMPOSICAO",S!$A:$D,I!$A:$D),2,FALSE)</f>
        <v>SERVENTE DE OBRAS</v>
      </c>
      <c r="D102" s="77"/>
      <c r="E102" s="77"/>
      <c r="F102" s="77"/>
      <c r="G102" s="16" t="str">
        <f>VLOOKUP(B102,IF(A102="COMPOSICAO",S!$A:$D,I!$A:$D),3,FALSE)</f>
        <v>H</v>
      </c>
      <c r="H102" s="17">
        <v>7.0000000000000007E-2</v>
      </c>
      <c r="I102" s="17">
        <f>IF(A102="COMPOSICAO",VLOOKUP("TOTAL - "&amp;B102,COMPOSICAO_AUX_3!$A:$J,10,FALSE),VLOOKUP(B102,I!$A:$D,4,FALSE))</f>
        <v>10.6</v>
      </c>
      <c r="J102" s="80">
        <f t="shared" si="3"/>
        <v>0.74</v>
      </c>
      <c r="K102" s="81"/>
    </row>
    <row r="103" spans="1:13" ht="45" customHeight="1" x14ac:dyDescent="0.25">
      <c r="A103" s="16" t="s">
        <v>306</v>
      </c>
      <c r="B103" s="20">
        <v>39017</v>
      </c>
      <c r="C103" s="77" t="str">
        <f>VLOOKUP(B103,IF(A103="COMPOSICAO",S!$A:$D,I!$A:$D),2,FALSE)</f>
        <v>ESPACADOR / DISTANCIADOR CIRCULAR COM ENTRADA LATERAL, EM PLASTICO, PARA VERGALHAO *4,2 A 12,5* MM, COBRIMENTO 20 MM</v>
      </c>
      <c r="D103" s="77"/>
      <c r="E103" s="77"/>
      <c r="F103" s="77"/>
      <c r="G103" s="16" t="str">
        <f>VLOOKUP(B103,IF(A103="COMPOSICAO",S!$A:$D,I!$A:$D),3,FALSE)</f>
        <v>UN</v>
      </c>
      <c r="H103" s="17">
        <v>0.4</v>
      </c>
      <c r="I103" s="17">
        <f>IF(A103="COMPOSICAO",VLOOKUP("TOTAL - "&amp;B103,COMPOSICAO_AUX_3!$A:$J,10,FALSE),VLOOKUP(B103,I!$A:$D,4,FALSE))</f>
        <v>0.21</v>
      </c>
      <c r="J103" s="80">
        <f t="shared" si="3"/>
        <v>0.08</v>
      </c>
      <c r="K103" s="81"/>
    </row>
    <row r="104" spans="1:13" ht="45" customHeight="1" x14ac:dyDescent="0.25">
      <c r="A104" s="16" t="s">
        <v>306</v>
      </c>
      <c r="B104" s="20">
        <v>39315</v>
      </c>
      <c r="C104" s="77" t="str">
        <f>VLOOKUP(B104,IF(A104="COMPOSICAO",S!$A:$D,I!$A:$D),2,FALSE)</f>
        <v>ESPACADOR / DISTANCIADOR TIPO GARRA DUPLA, EM PLASTICO, COBRIMENTO *20* MM, PARA FERRAGENS DE LAJES E FUNDO DE VIGAS</v>
      </c>
      <c r="D104" s="77"/>
      <c r="E104" s="77"/>
      <c r="F104" s="77"/>
      <c r="G104" s="16" t="str">
        <f>VLOOKUP(B104,IF(A104="COMPOSICAO",S!$A:$D,I!$A:$D),3,FALSE)</f>
        <v>UN</v>
      </c>
      <c r="H104" s="17">
        <v>0.4</v>
      </c>
      <c r="I104" s="17">
        <f>IF(A104="COMPOSICAO",VLOOKUP("TOTAL - "&amp;B104,COMPOSICAO_AUX_3!$A:$J,10,FALSE),VLOOKUP(B104,I!$A:$D,4,FALSE))</f>
        <v>0.35</v>
      </c>
      <c r="J104" s="80">
        <f t="shared" si="3"/>
        <v>0.14000000000000001</v>
      </c>
      <c r="K104" s="81"/>
    </row>
    <row r="105" spans="1:13" ht="30" customHeight="1" x14ac:dyDescent="0.25">
      <c r="A105" s="16" t="s">
        <v>306</v>
      </c>
      <c r="B105" s="20">
        <v>43132</v>
      </c>
      <c r="C105" s="77" t="str">
        <f>VLOOKUP(B105,IF(A105="COMPOSICAO",S!$A:$D,I!$A:$D),2,FALSE)</f>
        <v>ARAME RECOZIDO 16 BWG, D = 1,65 MM (0,016 KG/M) OU 18 BWG, D = 1,25 MM (0,01 KG/M)</v>
      </c>
      <c r="D105" s="77"/>
      <c r="E105" s="77"/>
      <c r="F105" s="77"/>
      <c r="G105" s="16" t="str">
        <f>VLOOKUP(B105,IF(A105="COMPOSICAO",S!$A:$D,I!$A:$D),3,FALSE)</f>
        <v>KG</v>
      </c>
      <c r="H105" s="17">
        <v>0.02</v>
      </c>
      <c r="I105" s="17">
        <f>IF(A105="COMPOSICAO",VLOOKUP("TOTAL - "&amp;B105,COMPOSICAO_AUX_3!$A:$J,10,FALSE),VLOOKUP(B105,I!$A:$D,4,FALSE))</f>
        <v>22.75</v>
      </c>
      <c r="J105" s="80">
        <f t="shared" si="3"/>
        <v>0.45</v>
      </c>
      <c r="K105" s="81"/>
    </row>
    <row r="106" spans="1:13" ht="15" customHeight="1" x14ac:dyDescent="0.25">
      <c r="A106" s="16" t="s">
        <v>302</v>
      </c>
      <c r="B106" s="16" t="s">
        <v>319</v>
      </c>
      <c r="C106" s="77" t="str">
        <f>VLOOKUP(B106,IF(A106="COMPOSICAO",S!$A:$D,I!$A:$D),2,FALSE)</f>
        <v>ENCARGOS COMPLEMENTARES - SERVENTE</v>
      </c>
      <c r="D106" s="77"/>
      <c r="E106" s="77"/>
      <c r="F106" s="77"/>
      <c r="G106" s="16" t="str">
        <f>VLOOKUP(B106,IF(A106="COMPOSICAO",S!$A:$D,I!$A:$D),3,FALSE)</f>
        <v>H</v>
      </c>
      <c r="H106" s="17">
        <v>7.0000000000000007E-2</v>
      </c>
      <c r="I106" s="17">
        <f>IF(A106="COMPOSICAO",VLOOKUP("TOTAL - "&amp;B106,COMPOSICAO_AUX_3!$A:$J,10,FALSE),VLOOKUP(B106,I!$A:$D,4,FALSE))</f>
        <v>2.9100000000000006</v>
      </c>
      <c r="J106" s="80">
        <f t="shared" si="3"/>
        <v>0.2</v>
      </c>
      <c r="K106" s="81"/>
    </row>
    <row r="107" spans="1:13" ht="15" customHeight="1" x14ac:dyDescent="0.25">
      <c r="A107" s="16" t="s">
        <v>302</v>
      </c>
      <c r="B107" s="16" t="s">
        <v>674</v>
      </c>
      <c r="C107" s="77" t="str">
        <f>VLOOKUP(B107,IF(A107="COMPOSICAO",S!$A:$D,I!$A:$D),2,FALSE)</f>
        <v>ENCARGOS COMPLEMENTARES - ARMADOR</v>
      </c>
      <c r="D107" s="77"/>
      <c r="E107" s="77"/>
      <c r="F107" s="77"/>
      <c r="G107" s="16" t="str">
        <f>VLOOKUP(B107,IF(A107="COMPOSICAO",S!$A:$D,I!$A:$D),3,FALSE)</f>
        <v>H</v>
      </c>
      <c r="H107" s="17">
        <v>7.0000000000000007E-2</v>
      </c>
      <c r="I107" s="17">
        <f>IF(A107="COMPOSICAO",VLOOKUP("TOTAL - "&amp;B107,COMPOSICAO_AUX_3!$A:$J,10,FALSE),VLOOKUP(B107,I!$A:$D,4,FALSE))</f>
        <v>2.7800000000000002</v>
      </c>
      <c r="J107" s="80">
        <f t="shared" si="3"/>
        <v>0.19</v>
      </c>
      <c r="K107" s="81"/>
    </row>
    <row r="108" spans="1:13" ht="15" customHeight="1" x14ac:dyDescent="0.25">
      <c r="A108" s="23" t="s">
        <v>743</v>
      </c>
      <c r="B108" s="24"/>
      <c r="C108" s="24"/>
      <c r="D108" s="24"/>
      <c r="E108" s="24"/>
      <c r="F108" s="24"/>
      <c r="G108" s="25"/>
      <c r="H108" s="26"/>
      <c r="I108" s="27"/>
      <c r="J108" s="80">
        <f>SUM(J99:K107)</f>
        <v>13.729999999999999</v>
      </c>
      <c r="K108" s="81"/>
    </row>
    <row r="109" spans="1:13" ht="15" customHeight="1" x14ac:dyDescent="0.25">
      <c r="A109" s="3"/>
      <c r="B109" s="3"/>
      <c r="C109" s="3"/>
      <c r="D109" s="3"/>
      <c r="E109" s="3"/>
      <c r="F109" s="3"/>
      <c r="G109" s="3"/>
      <c r="H109" s="3"/>
      <c r="I109" s="3"/>
      <c r="J109" s="3"/>
      <c r="K109" s="3"/>
    </row>
    <row r="110" spans="1:13" ht="15" customHeight="1" x14ac:dyDescent="0.25">
      <c r="A110" s="10" t="s">
        <v>295</v>
      </c>
      <c r="B110" s="10" t="s">
        <v>31</v>
      </c>
      <c r="C110" s="82" t="s">
        <v>7</v>
      </c>
      <c r="D110" s="83"/>
      <c r="E110" s="83"/>
      <c r="F110" s="83"/>
      <c r="G110" s="6" t="s">
        <v>32</v>
      </c>
      <c r="H110" s="6" t="s">
        <v>296</v>
      </c>
      <c r="I110" s="6" t="s">
        <v>297</v>
      </c>
      <c r="J110" s="57" t="s">
        <v>9</v>
      </c>
      <c r="K110" s="58"/>
    </row>
    <row r="111" spans="1:13" ht="15" customHeight="1" x14ac:dyDescent="0.25">
      <c r="A111" s="6" t="s">
        <v>11</v>
      </c>
      <c r="B111" s="6" t="s">
        <v>383</v>
      </c>
      <c r="C111" s="91" t="str">
        <f>VLOOKUP(B111,S!$A:$D,2,FALSE)</f>
        <v>ENCARGOS COMPLEMENTARES - PEDREIRO</v>
      </c>
      <c r="D111" s="91"/>
      <c r="E111" s="91"/>
      <c r="F111" s="92"/>
      <c r="G111" s="6" t="str">
        <f>VLOOKUP(B111,S!$A:$D,3,FALSE)</f>
        <v>H</v>
      </c>
      <c r="H111" s="21"/>
      <c r="I111" s="21">
        <f>J137</f>
        <v>2.8000000000000003</v>
      </c>
      <c r="J111" s="76"/>
      <c r="K111" s="72"/>
      <c r="L111" s="21">
        <f>VLOOKUP(B111,S!$A:$D,4,FALSE)</f>
        <v>2.89</v>
      </c>
      <c r="M111" s="6" t="str">
        <f>IF(ROUND((L111-I111),2)=0,"OK, confere com a tabela.",IF(ROUND((L111-I111),2)&lt;0,"ACIMA ("&amp;TEXT(ROUND(I111*100/L111,4),"0,0000")&amp;" %) da tabela.","ABAIXO ("&amp;TEXT(ROUND(I111*100/L111,4),"0,0000")&amp;" %) da tabela."))</f>
        <v>ABAIXO (96,8858 %) da tabela.</v>
      </c>
    </row>
    <row r="112" spans="1:13" ht="15" customHeight="1" x14ac:dyDescent="0.25">
      <c r="A112" s="16" t="s">
        <v>306</v>
      </c>
      <c r="B112" s="16" t="s">
        <v>519</v>
      </c>
      <c r="C112" s="77" t="str">
        <f>VLOOKUP(B112,IF(A112="COMPOSICAO",S!$A:$D,I!$A:$D),2,FALSE)</f>
        <v>ALMOÇO (PARTICIPAÇÃO DO EMPREGADOR)</v>
      </c>
      <c r="D112" s="77"/>
      <c r="E112" s="77"/>
      <c r="F112" s="77"/>
      <c r="G112" s="16" t="str">
        <f>VLOOKUP(B112,IF(A112="COMPOSICAO",S!$A:$D,I!$A:$D),3,FALSE)</f>
        <v>UN</v>
      </c>
      <c r="H112" s="29">
        <v>0.1018</v>
      </c>
      <c r="I112" s="17">
        <f>IF(A112="COMPOSICAO",VLOOKUP("TOTAL - "&amp;B112,COMPOSICAO_AUX_3!$A:$J,10,FALSE),VLOOKUP(B112,I!$A:$D,4,FALSE))</f>
        <v>10</v>
      </c>
      <c r="J112" s="80">
        <f t="shared" ref="J112:J136" si="4">TRUNC(H112*I112,2)</f>
        <v>1.01</v>
      </c>
      <c r="K112" s="81"/>
    </row>
    <row r="113" spans="1:11" ht="15" customHeight="1" x14ac:dyDescent="0.25">
      <c r="A113" s="16" t="s">
        <v>306</v>
      </c>
      <c r="B113" s="16" t="s">
        <v>520</v>
      </c>
      <c r="C113" s="77" t="str">
        <f>VLOOKUP(B113,IF(A113="COMPOSICAO",S!$A:$D,I!$A:$D),2,FALSE)</f>
        <v>FARDAMENTO</v>
      </c>
      <c r="D113" s="77"/>
      <c r="E113" s="77"/>
      <c r="F113" s="77"/>
      <c r="G113" s="16" t="str">
        <f>VLOOKUP(B113,IF(A113="COMPOSICAO",S!$A:$D,I!$A:$D),3,FALSE)</f>
        <v>UN</v>
      </c>
      <c r="H113" s="29">
        <v>1.5E-3</v>
      </c>
      <c r="I113" s="17">
        <f>IF(A113="COMPOSICAO",VLOOKUP("TOTAL - "&amp;B113,COMPOSICAO_AUX_3!$A:$J,10,FALSE),VLOOKUP(B113,I!$A:$D,4,FALSE))</f>
        <v>78.53</v>
      </c>
      <c r="J113" s="80">
        <f t="shared" si="4"/>
        <v>0.11</v>
      </c>
      <c r="K113" s="81"/>
    </row>
    <row r="114" spans="1:11" ht="15" customHeight="1" x14ac:dyDescent="0.25">
      <c r="A114" s="16" t="s">
        <v>306</v>
      </c>
      <c r="B114" s="16" t="s">
        <v>521</v>
      </c>
      <c r="C114" s="77" t="str">
        <f>VLOOKUP(B114,IF(A114="COMPOSICAO",S!$A:$D,I!$A:$D),2,FALSE)</f>
        <v>ÓCULOS BRANCO PROTEÇÃO</v>
      </c>
      <c r="D114" s="77"/>
      <c r="E114" s="77"/>
      <c r="F114" s="77"/>
      <c r="G114" s="16" t="str">
        <f>VLOOKUP(B114,IF(A114="COMPOSICAO",S!$A:$D,I!$A:$D),3,FALSE)</f>
        <v>PR</v>
      </c>
      <c r="H114" s="29">
        <v>8.0000000000000004E-4</v>
      </c>
      <c r="I114" s="17">
        <f>IF(A114="COMPOSICAO",VLOOKUP("TOTAL - "&amp;B114,COMPOSICAO_AUX_3!$A:$J,10,FALSE),VLOOKUP(B114,I!$A:$D,4,FALSE))</f>
        <v>5.9</v>
      </c>
      <c r="J114" s="80">
        <f t="shared" si="4"/>
        <v>0</v>
      </c>
      <c r="K114" s="81"/>
    </row>
    <row r="115" spans="1:11" ht="15" customHeight="1" x14ac:dyDescent="0.25">
      <c r="A115" s="16" t="s">
        <v>306</v>
      </c>
      <c r="B115" s="16" t="s">
        <v>522</v>
      </c>
      <c r="C115" s="77" t="str">
        <f>VLOOKUP(B115,IF(A115="COMPOSICAO",S!$A:$D,I!$A:$D),2,FALSE)</f>
        <v>VALE TRANSPORTE</v>
      </c>
      <c r="D115" s="77"/>
      <c r="E115" s="77"/>
      <c r="F115" s="77"/>
      <c r="G115" s="16" t="str">
        <f>VLOOKUP(B115,IF(A115="COMPOSICAO",S!$A:$D,I!$A:$D),3,FALSE)</f>
        <v>UN</v>
      </c>
      <c r="H115" s="29">
        <v>6.54E-2</v>
      </c>
      <c r="I115" s="17">
        <f>IF(A115="COMPOSICAO",VLOOKUP("TOTAL - "&amp;B115,COMPOSICAO_AUX_3!$A:$J,10,FALSE),VLOOKUP(B115,I!$A:$D,4,FALSE))</f>
        <v>4</v>
      </c>
      <c r="J115" s="80">
        <f t="shared" si="4"/>
        <v>0.26</v>
      </c>
      <c r="K115" s="81"/>
    </row>
    <row r="116" spans="1:11" ht="30" customHeight="1" x14ac:dyDescent="0.25">
      <c r="A116" s="16" t="s">
        <v>306</v>
      </c>
      <c r="B116" s="16" t="s">
        <v>617</v>
      </c>
      <c r="C116" s="77" t="str">
        <f>VLOOKUP(B116,IF(A116="COMPOSICAO",S!$A:$D,I!$A:$D),2,FALSE)</f>
        <v>DESEMPENADEIRA DE AÇO LISA, CABO MADEIRA, REF:143, ATLAS OU SIMILAR</v>
      </c>
      <c r="D116" s="77"/>
      <c r="E116" s="77"/>
      <c r="F116" s="77"/>
      <c r="G116" s="16" t="str">
        <f>VLOOKUP(B116,IF(A116="COMPOSICAO",S!$A:$D,I!$A:$D),3,FALSE)</f>
        <v>UN</v>
      </c>
      <c r="H116" s="29">
        <v>5.0000000000000001E-4</v>
      </c>
      <c r="I116" s="17">
        <f>IF(A116="COMPOSICAO",VLOOKUP("TOTAL - "&amp;B116,COMPOSICAO_AUX_3!$A:$J,10,FALSE),VLOOKUP(B116,I!$A:$D,4,FALSE))</f>
        <v>10.8</v>
      </c>
      <c r="J116" s="80">
        <f t="shared" si="4"/>
        <v>0</v>
      </c>
      <c r="K116" s="81"/>
    </row>
    <row r="117" spans="1:11" ht="15" customHeight="1" x14ac:dyDescent="0.25">
      <c r="A117" s="16" t="s">
        <v>306</v>
      </c>
      <c r="B117" s="16" t="s">
        <v>618</v>
      </c>
      <c r="C117" s="77" t="str">
        <f>VLOOKUP(B117,IF(A117="COMPOSICAO",S!$A:$D,I!$A:$D),2,FALSE)</f>
        <v>COLHER DE PEDREIRO</v>
      </c>
      <c r="D117" s="77"/>
      <c r="E117" s="77"/>
      <c r="F117" s="77"/>
      <c r="G117" s="16" t="str">
        <f>VLOOKUP(B117,IF(A117="COMPOSICAO",S!$A:$D,I!$A:$D),3,FALSE)</f>
        <v>UN</v>
      </c>
      <c r="H117" s="29">
        <v>4.0000000000000002E-4</v>
      </c>
      <c r="I117" s="17">
        <f>IF(A117="COMPOSICAO",VLOOKUP("TOTAL - "&amp;B117,COMPOSICAO_AUX_3!$A:$J,10,FALSE),VLOOKUP(B117,I!$A:$D,4,FALSE))</f>
        <v>16.79</v>
      </c>
      <c r="J117" s="80">
        <f t="shared" si="4"/>
        <v>0</v>
      </c>
      <c r="K117" s="81"/>
    </row>
    <row r="118" spans="1:11" ht="15" customHeight="1" x14ac:dyDescent="0.25">
      <c r="A118" s="16" t="s">
        <v>306</v>
      </c>
      <c r="B118" s="16" t="s">
        <v>619</v>
      </c>
      <c r="C118" s="77" t="str">
        <f>VLOOKUP(B118,IF(A118="COMPOSICAO",S!$A:$D,I!$A:$D),2,FALSE)</f>
        <v>REGUA DE ALUMÍNIO C/ 2,00M (PARA PEDREIRO)</v>
      </c>
      <c r="D118" s="77"/>
      <c r="E118" s="77"/>
      <c r="F118" s="77"/>
      <c r="G118" s="16" t="str">
        <f>VLOOKUP(B118,IF(A118="COMPOSICAO",S!$A:$D,I!$A:$D),3,FALSE)</f>
        <v>UN</v>
      </c>
      <c r="H118" s="29">
        <v>2.0000000000000001E-4</v>
      </c>
      <c r="I118" s="17">
        <f>IF(A118="COMPOSICAO",VLOOKUP("TOTAL - "&amp;B118,COMPOSICAO_AUX_3!$A:$J,10,FALSE),VLOOKUP(B118,I!$A:$D,4,FALSE))</f>
        <v>16.7</v>
      </c>
      <c r="J118" s="80">
        <f t="shared" si="4"/>
        <v>0</v>
      </c>
      <c r="K118" s="81"/>
    </row>
    <row r="119" spans="1:11" ht="15" customHeight="1" x14ac:dyDescent="0.25">
      <c r="A119" s="16" t="s">
        <v>306</v>
      </c>
      <c r="B119" s="16" t="s">
        <v>525</v>
      </c>
      <c r="C119" s="77" t="str">
        <f>VLOOKUP(B119,IF(A119="COMPOSICAO",S!$A:$D,I!$A:$D),2,FALSE)</f>
        <v>SEGURO DE VIDA E ACIDENTE EM GRUPO</v>
      </c>
      <c r="D119" s="77"/>
      <c r="E119" s="77"/>
      <c r="F119" s="77"/>
      <c r="G119" s="16" t="str">
        <f>VLOOKUP(B119,IF(A119="COMPOSICAO",S!$A:$D,I!$A:$D),3,FALSE)</f>
        <v>UN</v>
      </c>
      <c r="H119" s="29">
        <v>4.4999999999999997E-3</v>
      </c>
      <c r="I119" s="17">
        <f>IF(A119="COMPOSICAO",VLOOKUP("TOTAL - "&amp;B119,COMPOSICAO_AUX_3!$A:$J,10,FALSE),VLOOKUP(B119,I!$A:$D,4,FALSE))</f>
        <v>12.54</v>
      </c>
      <c r="J119" s="80">
        <f t="shared" si="4"/>
        <v>0.05</v>
      </c>
      <c r="K119" s="81"/>
    </row>
    <row r="120" spans="1:11" ht="15" customHeight="1" x14ac:dyDescent="0.25">
      <c r="A120" s="16" t="s">
        <v>306</v>
      </c>
      <c r="B120" s="16" t="s">
        <v>526</v>
      </c>
      <c r="C120" s="77" t="str">
        <f>VLOOKUP(B120,IF(A120="COMPOSICAO",S!$A:$D,I!$A:$D),2,FALSE)</f>
        <v>CESTA BÁSICA</v>
      </c>
      <c r="D120" s="77"/>
      <c r="E120" s="77"/>
      <c r="F120" s="77"/>
      <c r="G120" s="16" t="str">
        <f>VLOOKUP(B120,IF(A120="COMPOSICAO",S!$A:$D,I!$A:$D),3,FALSE)</f>
        <v>UN</v>
      </c>
      <c r="H120" s="29">
        <v>4.4999999999999997E-3</v>
      </c>
      <c r="I120" s="17">
        <f>IF(A120="COMPOSICAO",VLOOKUP("TOTAL - "&amp;B120,COMPOSICAO_AUX_3!$A:$J,10,FALSE),VLOOKUP(B120,I!$A:$D,4,FALSE))</f>
        <v>140</v>
      </c>
      <c r="J120" s="80">
        <f t="shared" si="4"/>
        <v>0.63</v>
      </c>
      <c r="K120" s="81"/>
    </row>
    <row r="121" spans="1:11" ht="15" customHeight="1" x14ac:dyDescent="0.25">
      <c r="A121" s="16" t="s">
        <v>306</v>
      </c>
      <c r="B121" s="16" t="s">
        <v>527</v>
      </c>
      <c r="C121" s="77" t="str">
        <f>VLOOKUP(B121,IF(A121="COMPOSICAO",S!$A:$D,I!$A:$D),2,FALSE)</f>
        <v>EXAMES ADMISSIONAIS/DEMISSIONAIS (CHECKUP)</v>
      </c>
      <c r="D121" s="77"/>
      <c r="E121" s="77"/>
      <c r="F121" s="77"/>
      <c r="G121" s="16" t="str">
        <f>VLOOKUP(B121,IF(A121="COMPOSICAO",S!$A:$D,I!$A:$D),3,FALSE)</f>
        <v>CJ</v>
      </c>
      <c r="H121" s="29">
        <v>4.0000000000000002E-4</v>
      </c>
      <c r="I121" s="17">
        <f>IF(A121="COMPOSICAO",VLOOKUP("TOTAL - "&amp;B121,COMPOSICAO_AUX_3!$A:$J,10,FALSE),VLOOKUP(B121,I!$A:$D,4,FALSE))</f>
        <v>300</v>
      </c>
      <c r="J121" s="80">
        <f t="shared" si="4"/>
        <v>0.12</v>
      </c>
      <c r="K121" s="81"/>
    </row>
    <row r="122" spans="1:11" ht="15" customHeight="1" x14ac:dyDescent="0.25">
      <c r="A122" s="16" t="s">
        <v>306</v>
      </c>
      <c r="B122" s="16" t="s">
        <v>528</v>
      </c>
      <c r="C122" s="77" t="str">
        <f>VLOOKUP(B122,IF(A122="COMPOSICAO",S!$A:$D,I!$A:$D),2,FALSE)</f>
        <v>PROTETOR AURICULAR</v>
      </c>
      <c r="D122" s="77"/>
      <c r="E122" s="77"/>
      <c r="F122" s="77"/>
      <c r="G122" s="16" t="str">
        <f>VLOOKUP(B122,IF(A122="COMPOSICAO",S!$A:$D,I!$A:$D),3,FALSE)</f>
        <v>UN</v>
      </c>
      <c r="H122" s="29">
        <v>4.4999999999999997E-3</v>
      </c>
      <c r="I122" s="17">
        <f>IF(A122="COMPOSICAO",VLOOKUP("TOTAL - "&amp;B122,COMPOSICAO_AUX_3!$A:$J,10,FALSE),VLOOKUP(B122,I!$A:$D,4,FALSE))</f>
        <v>4.9000000000000004</v>
      </c>
      <c r="J122" s="80">
        <f t="shared" si="4"/>
        <v>0.02</v>
      </c>
      <c r="K122" s="81"/>
    </row>
    <row r="123" spans="1:11" ht="15" customHeight="1" x14ac:dyDescent="0.25">
      <c r="A123" s="16" t="s">
        <v>306</v>
      </c>
      <c r="B123" s="16" t="s">
        <v>529</v>
      </c>
      <c r="C123" s="77" t="str">
        <f>VLOOKUP(B123,IF(A123="COMPOSICAO",S!$A:$D,I!$A:$D),2,FALSE)</f>
        <v>PROTETOR SOLAR FPS 30 COM 120ML</v>
      </c>
      <c r="D123" s="77"/>
      <c r="E123" s="77"/>
      <c r="F123" s="77"/>
      <c r="G123" s="16" t="str">
        <f>VLOOKUP(B123,IF(A123="COMPOSICAO",S!$A:$D,I!$A:$D),3,FALSE)</f>
        <v>UN</v>
      </c>
      <c r="H123" s="29">
        <v>1.8E-3</v>
      </c>
      <c r="I123" s="17">
        <f>IF(A123="COMPOSICAO",VLOOKUP("TOTAL - "&amp;B123,COMPOSICAO_AUX_3!$A:$J,10,FALSE),VLOOKUP(B123,I!$A:$D,4,FALSE))</f>
        <v>35.9</v>
      </c>
      <c r="J123" s="80">
        <f t="shared" si="4"/>
        <v>0.06</v>
      </c>
      <c r="K123" s="81"/>
    </row>
    <row r="124" spans="1:11" ht="30" customHeight="1" x14ac:dyDescent="0.25">
      <c r="A124" s="16" t="s">
        <v>306</v>
      </c>
      <c r="B124" s="16" t="s">
        <v>530</v>
      </c>
      <c r="C124" s="77" t="str">
        <f>VLOOKUP(B124,IF(A124="COMPOSICAO",S!$A:$D,I!$A:$D),2,FALSE)</f>
        <v>REFEIÇÃO - CAFÉ DA MANHÃ ( CAFÉ COM LEITE E DOIS PÃES COM MANTEIGA)</v>
      </c>
      <c r="D124" s="77"/>
      <c r="E124" s="77"/>
      <c r="F124" s="77"/>
      <c r="G124" s="16" t="str">
        <f>VLOOKUP(B124,IF(A124="COMPOSICAO",S!$A:$D,I!$A:$D),3,FALSE)</f>
        <v>UN</v>
      </c>
      <c r="H124" s="29">
        <v>0.1018</v>
      </c>
      <c r="I124" s="17">
        <f>IF(A124="COMPOSICAO",VLOOKUP("TOTAL - "&amp;B124,COMPOSICAO_AUX_3!$A:$J,10,FALSE),VLOOKUP(B124,I!$A:$D,4,FALSE))</f>
        <v>4.5</v>
      </c>
      <c r="J124" s="80">
        <f t="shared" si="4"/>
        <v>0.45</v>
      </c>
      <c r="K124" s="81"/>
    </row>
    <row r="125" spans="1:11" ht="15" customHeight="1" x14ac:dyDescent="0.25">
      <c r="A125" s="16" t="s">
        <v>306</v>
      </c>
      <c r="B125" s="16" t="s">
        <v>620</v>
      </c>
      <c r="C125" s="77" t="str">
        <f>VLOOKUP(B125,IF(A125="COMPOSICAO",S!$A:$D,I!$A:$D),2,FALSE)</f>
        <v>NÍVEL DE BOLHA DE MADEIRA</v>
      </c>
      <c r="D125" s="77"/>
      <c r="E125" s="77"/>
      <c r="F125" s="77"/>
      <c r="G125" s="16" t="str">
        <f>VLOOKUP(B125,IF(A125="COMPOSICAO",S!$A:$D,I!$A:$D),3,FALSE)</f>
        <v>UN</v>
      </c>
      <c r="H125" s="29">
        <v>2.0000000000000001E-4</v>
      </c>
      <c r="I125" s="17">
        <f>IF(A125="COMPOSICAO",VLOOKUP("TOTAL - "&amp;B125,COMPOSICAO_AUX_3!$A:$J,10,FALSE),VLOOKUP(B125,I!$A:$D,4,FALSE))</f>
        <v>15.9</v>
      </c>
      <c r="J125" s="80">
        <f t="shared" si="4"/>
        <v>0</v>
      </c>
      <c r="K125" s="81"/>
    </row>
    <row r="126" spans="1:11" ht="15" customHeight="1" x14ac:dyDescent="0.25">
      <c r="A126" s="16" t="s">
        <v>306</v>
      </c>
      <c r="B126" s="16" t="s">
        <v>621</v>
      </c>
      <c r="C126" s="77" t="str">
        <f>VLOOKUP(B126,IF(A126="COMPOSICAO",S!$A:$D,I!$A:$D),2,FALSE)</f>
        <v>PRUMO DE FACE</v>
      </c>
      <c r="D126" s="77"/>
      <c r="E126" s="77"/>
      <c r="F126" s="77"/>
      <c r="G126" s="16" t="str">
        <f>VLOOKUP(B126,IF(A126="COMPOSICAO",S!$A:$D,I!$A:$D),3,FALSE)</f>
        <v>UN</v>
      </c>
      <c r="H126" s="29">
        <v>1E-4</v>
      </c>
      <c r="I126" s="17">
        <f>IF(A126="COMPOSICAO",VLOOKUP("TOTAL - "&amp;B126,COMPOSICAO_AUX_3!$A:$J,10,FALSE),VLOOKUP(B126,I!$A:$D,4,FALSE))</f>
        <v>21</v>
      </c>
      <c r="J126" s="80">
        <f t="shared" si="4"/>
        <v>0</v>
      </c>
      <c r="K126" s="81"/>
    </row>
    <row r="127" spans="1:11" ht="15" customHeight="1" x14ac:dyDescent="0.25">
      <c r="A127" s="16" t="s">
        <v>306</v>
      </c>
      <c r="B127" s="16" t="s">
        <v>622</v>
      </c>
      <c r="C127" s="77" t="str">
        <f>VLOOKUP(B127,IF(A127="COMPOSICAO",S!$A:$D,I!$A:$D),2,FALSE)</f>
        <v>MARTELO SEM UNHA</v>
      </c>
      <c r="D127" s="77"/>
      <c r="E127" s="77"/>
      <c r="F127" s="77"/>
      <c r="G127" s="16" t="str">
        <f>VLOOKUP(B127,IF(A127="COMPOSICAO",S!$A:$D,I!$A:$D),3,FALSE)</f>
        <v>UN</v>
      </c>
      <c r="H127" s="29">
        <v>1E-4</v>
      </c>
      <c r="I127" s="17">
        <f>IF(A127="COMPOSICAO",VLOOKUP("TOTAL - "&amp;B127,COMPOSICAO_AUX_3!$A:$J,10,FALSE),VLOOKUP(B127,I!$A:$D,4,FALSE))</f>
        <v>16.55</v>
      </c>
      <c r="J127" s="80">
        <f t="shared" si="4"/>
        <v>0</v>
      </c>
      <c r="K127" s="81"/>
    </row>
    <row r="128" spans="1:11" ht="15" customHeight="1" x14ac:dyDescent="0.25">
      <c r="A128" s="16" t="s">
        <v>306</v>
      </c>
      <c r="B128" s="16" t="s">
        <v>623</v>
      </c>
      <c r="C128" s="77" t="str">
        <f>VLOOKUP(B128,IF(A128="COMPOSICAO",S!$A:$D,I!$A:$D),2,FALSE)</f>
        <v>DESEMPOLADEIRA DE MADEIRA 12X22</v>
      </c>
      <c r="D128" s="77"/>
      <c r="E128" s="77"/>
      <c r="F128" s="77"/>
      <c r="G128" s="16" t="str">
        <f>VLOOKUP(B128,IF(A128="COMPOSICAO",S!$A:$D,I!$A:$D),3,FALSE)</f>
        <v>UN</v>
      </c>
      <c r="H128" s="29">
        <v>6.9999999999999999E-4</v>
      </c>
      <c r="I128" s="17">
        <f>IF(A128="COMPOSICAO",VLOOKUP("TOTAL - "&amp;B128,COMPOSICAO_AUX_3!$A:$J,10,FALSE),VLOOKUP(B128,I!$A:$D,4,FALSE))</f>
        <v>11.26</v>
      </c>
      <c r="J128" s="80">
        <f t="shared" si="4"/>
        <v>0</v>
      </c>
      <c r="K128" s="81"/>
    </row>
    <row r="129" spans="1:13" ht="15" customHeight="1" x14ac:dyDescent="0.25">
      <c r="A129" s="16" t="s">
        <v>306</v>
      </c>
      <c r="B129" s="16" t="s">
        <v>624</v>
      </c>
      <c r="C129" s="77" t="str">
        <f>VLOOKUP(B129,IF(A129="COMPOSICAO",S!$A:$D,I!$A:$D),2,FALSE)</f>
        <v>ESCALA MÉTRICA DE BAMBÚ</v>
      </c>
      <c r="D129" s="77"/>
      <c r="E129" s="77"/>
      <c r="F129" s="77"/>
      <c r="G129" s="16" t="str">
        <f>VLOOKUP(B129,IF(A129="COMPOSICAO",S!$A:$D,I!$A:$D),3,FALSE)</f>
        <v>UN</v>
      </c>
      <c r="H129" s="29">
        <v>6.9999999999999999E-4</v>
      </c>
      <c r="I129" s="17">
        <f>IF(A129="COMPOSICAO",VLOOKUP("TOTAL - "&amp;B129,COMPOSICAO_AUX_3!$A:$J,10,FALSE),VLOOKUP(B129,I!$A:$D,4,FALSE))</f>
        <v>9.0500000000000007</v>
      </c>
      <c r="J129" s="80">
        <f t="shared" si="4"/>
        <v>0</v>
      </c>
      <c r="K129" s="81"/>
    </row>
    <row r="130" spans="1:13" ht="15" customHeight="1" x14ac:dyDescent="0.25">
      <c r="A130" s="16" t="s">
        <v>306</v>
      </c>
      <c r="B130" s="16" t="s">
        <v>625</v>
      </c>
      <c r="C130" s="77" t="str">
        <f>VLOOKUP(B130,IF(A130="COMPOSICAO",S!$A:$D,I!$A:$D),2,FALSE)</f>
        <v>SERRA MÁRMORE</v>
      </c>
      <c r="D130" s="77"/>
      <c r="E130" s="77"/>
      <c r="F130" s="77"/>
      <c r="G130" s="16" t="str">
        <f>VLOOKUP(B130,IF(A130="COMPOSICAO",S!$A:$D,I!$A:$D),3,FALSE)</f>
        <v>UN</v>
      </c>
      <c r="H130" s="29">
        <v>1E-4</v>
      </c>
      <c r="I130" s="17">
        <f>IF(A130="COMPOSICAO",VLOOKUP("TOTAL - "&amp;B130,COMPOSICAO_AUX_3!$A:$J,10,FALSE),VLOOKUP(B130,I!$A:$D,4,FALSE))</f>
        <v>272.97000000000003</v>
      </c>
      <c r="J130" s="80">
        <f t="shared" si="4"/>
        <v>0.02</v>
      </c>
      <c r="K130" s="81"/>
    </row>
    <row r="131" spans="1:13" ht="15" customHeight="1" x14ac:dyDescent="0.25">
      <c r="A131" s="16" t="s">
        <v>306</v>
      </c>
      <c r="B131" s="16" t="s">
        <v>626</v>
      </c>
      <c r="C131" s="77" t="str">
        <f>VLOOKUP(B131,IF(A131="COMPOSICAO",S!$A:$D,I!$A:$D),2,FALSE)</f>
        <v>MARRETA DE 1/2 KG COM CABO</v>
      </c>
      <c r="D131" s="77"/>
      <c r="E131" s="77"/>
      <c r="F131" s="77"/>
      <c r="G131" s="16" t="str">
        <f>VLOOKUP(B131,IF(A131="COMPOSICAO",S!$A:$D,I!$A:$D),3,FALSE)</f>
        <v>UN</v>
      </c>
      <c r="H131" s="29">
        <v>2.0000000000000001E-4</v>
      </c>
      <c r="I131" s="17">
        <f>IF(A131="COMPOSICAO",VLOOKUP("TOTAL - "&amp;B131,COMPOSICAO_AUX_3!$A:$J,10,FALSE),VLOOKUP(B131,I!$A:$D,4,FALSE))</f>
        <v>13.52</v>
      </c>
      <c r="J131" s="80">
        <f t="shared" si="4"/>
        <v>0</v>
      </c>
      <c r="K131" s="81"/>
    </row>
    <row r="132" spans="1:13" ht="15" customHeight="1" x14ac:dyDescent="0.25">
      <c r="A132" s="16" t="s">
        <v>306</v>
      </c>
      <c r="B132" s="16" t="s">
        <v>627</v>
      </c>
      <c r="C132" s="77" t="str">
        <f>VLOOKUP(B132,IF(A132="COMPOSICAO",S!$A:$D,I!$A:$D),2,FALSE)</f>
        <v>MARTELO DE BORRACHA COM CABO</v>
      </c>
      <c r="D132" s="77"/>
      <c r="E132" s="77"/>
      <c r="F132" s="77"/>
      <c r="G132" s="16" t="str">
        <f>VLOOKUP(B132,IF(A132="COMPOSICAO",S!$A:$D,I!$A:$D),3,FALSE)</f>
        <v>UN</v>
      </c>
      <c r="H132" s="29">
        <v>4.0000000000000002E-4</v>
      </c>
      <c r="I132" s="17">
        <f>IF(A132="COMPOSICAO",VLOOKUP("TOTAL - "&amp;B132,COMPOSICAO_AUX_3!$A:$J,10,FALSE),VLOOKUP(B132,I!$A:$D,4,FALSE))</f>
        <v>11.5</v>
      </c>
      <c r="J132" s="80">
        <f t="shared" si="4"/>
        <v>0</v>
      </c>
      <c r="K132" s="81"/>
    </row>
    <row r="133" spans="1:13" ht="30" customHeight="1" x14ac:dyDescent="0.25">
      <c r="A133" s="16" t="s">
        <v>306</v>
      </c>
      <c r="B133" s="20">
        <v>12892</v>
      </c>
      <c r="C133" s="77" t="str">
        <f>VLOOKUP(B133,IF(A133="COMPOSICAO",S!$A:$D,I!$A:$D),2,FALSE)</f>
        <v>LUVA RASPA DE COURO, CANO CURTO (PUNHO *7* CM)</v>
      </c>
      <c r="D133" s="77"/>
      <c r="E133" s="77"/>
      <c r="F133" s="77"/>
      <c r="G133" s="16" t="str">
        <f>VLOOKUP(B133,IF(A133="COMPOSICAO",S!$A:$D,I!$A:$D),3,FALSE)</f>
        <v>PAR</v>
      </c>
      <c r="H133" s="29">
        <v>2.3E-3</v>
      </c>
      <c r="I133" s="17">
        <f>IF(A133="COMPOSICAO",VLOOKUP("TOTAL - "&amp;B133,COMPOSICAO_AUX_3!$A:$J,10,FALSE),VLOOKUP(B133,I!$A:$D,4,FALSE))</f>
        <v>12.91</v>
      </c>
      <c r="J133" s="80">
        <f t="shared" si="4"/>
        <v>0.02</v>
      </c>
      <c r="K133" s="81"/>
    </row>
    <row r="134" spans="1:13" ht="30" customHeight="1" x14ac:dyDescent="0.25">
      <c r="A134" s="16" t="s">
        <v>306</v>
      </c>
      <c r="B134" s="20">
        <v>12893</v>
      </c>
      <c r="C134" s="77" t="str">
        <f>VLOOKUP(B134,IF(A134="COMPOSICAO",S!$A:$D,I!$A:$D),2,FALSE)</f>
        <v>BOTA DE SEGURANCA COM BIQUEIRA DE ACO E COLARINHO ACOLCHOADO</v>
      </c>
      <c r="D134" s="77"/>
      <c r="E134" s="77"/>
      <c r="F134" s="77"/>
      <c r="G134" s="16" t="str">
        <f>VLOOKUP(B134,IF(A134="COMPOSICAO",S!$A:$D,I!$A:$D),3,FALSE)</f>
        <v>PAR</v>
      </c>
      <c r="H134" s="29">
        <v>8.0000000000000004E-4</v>
      </c>
      <c r="I134" s="17">
        <f>IF(A134="COMPOSICAO",VLOOKUP("TOTAL - "&amp;B134,COMPOSICAO_AUX_3!$A:$J,10,FALSE),VLOOKUP(B134,I!$A:$D,4,FALSE))</f>
        <v>68.88</v>
      </c>
      <c r="J134" s="80">
        <f t="shared" si="4"/>
        <v>0.05</v>
      </c>
      <c r="K134" s="81"/>
    </row>
    <row r="135" spans="1:13" ht="30" customHeight="1" x14ac:dyDescent="0.25">
      <c r="A135" s="16" t="s">
        <v>306</v>
      </c>
      <c r="B135" s="20">
        <v>12894</v>
      </c>
      <c r="C135" s="77" t="str">
        <f>VLOOKUP(B135,IF(A135="COMPOSICAO",S!$A:$D,I!$A:$D),2,FALSE)</f>
        <v>CAPA PARA CHUVA EM PVC COM FORRO DE POLIESTER, COM CAPUZ (AMARELA OU AZUL)</v>
      </c>
      <c r="D135" s="77"/>
      <c r="E135" s="77"/>
      <c r="F135" s="77"/>
      <c r="G135" s="16" t="str">
        <f>VLOOKUP(B135,IF(A135="COMPOSICAO",S!$A:$D,I!$A:$D),3,FALSE)</f>
        <v>UN</v>
      </c>
      <c r="H135" s="29">
        <v>2.0000000000000001E-4</v>
      </c>
      <c r="I135" s="17">
        <f>IF(A135="COMPOSICAO",VLOOKUP("TOTAL - "&amp;B135,COMPOSICAO_AUX_3!$A:$J,10,FALSE),VLOOKUP(B135,I!$A:$D,4,FALSE))</f>
        <v>18.649999999999999</v>
      </c>
      <c r="J135" s="80">
        <f t="shared" si="4"/>
        <v>0</v>
      </c>
      <c r="K135" s="81"/>
    </row>
    <row r="136" spans="1:13" ht="30" customHeight="1" x14ac:dyDescent="0.25">
      <c r="A136" s="16" t="s">
        <v>306</v>
      </c>
      <c r="B136" s="20">
        <v>12895</v>
      </c>
      <c r="C136" s="77" t="str">
        <f>VLOOKUP(B136,IF(A136="COMPOSICAO",S!$A:$D,I!$A:$D),2,FALSE)</f>
        <v>CAPACETE DE SEGURANCA ABA FRONTAL COM SUSPENSAO DE POLIETILENO, SEM JUGULAR (CLASSE B)</v>
      </c>
      <c r="D136" s="77"/>
      <c r="E136" s="77"/>
      <c r="F136" s="77"/>
      <c r="G136" s="16" t="str">
        <f>VLOOKUP(B136,IF(A136="COMPOSICAO",S!$A:$D,I!$A:$D),3,FALSE)</f>
        <v>UN</v>
      </c>
      <c r="H136" s="29">
        <v>5.9999999999999995E-4</v>
      </c>
      <c r="I136" s="17">
        <f>IF(A136="COMPOSICAO",VLOOKUP("TOTAL - "&amp;B136,COMPOSICAO_AUX_3!$A:$J,10,FALSE),VLOOKUP(B136,I!$A:$D,4,FALSE))</f>
        <v>14.35</v>
      </c>
      <c r="J136" s="80">
        <f t="shared" si="4"/>
        <v>0</v>
      </c>
      <c r="K136" s="81"/>
    </row>
    <row r="137" spans="1:13" ht="15" customHeight="1" x14ac:dyDescent="0.25">
      <c r="A137" s="23" t="s">
        <v>628</v>
      </c>
      <c r="B137" s="24"/>
      <c r="C137" s="24"/>
      <c r="D137" s="24"/>
      <c r="E137" s="24"/>
      <c r="F137" s="24"/>
      <c r="G137" s="25"/>
      <c r="H137" s="26"/>
      <c r="I137" s="27"/>
      <c r="J137" s="80">
        <f>SUM(J111:K136)</f>
        <v>2.8000000000000003</v>
      </c>
      <c r="K137" s="81"/>
    </row>
    <row r="138" spans="1:13" ht="15" customHeight="1" x14ac:dyDescent="0.25">
      <c r="A138" s="3"/>
      <c r="B138" s="3"/>
      <c r="C138" s="3"/>
      <c r="D138" s="3"/>
      <c r="E138" s="3"/>
      <c r="F138" s="3"/>
      <c r="G138" s="3"/>
      <c r="H138" s="3"/>
      <c r="I138" s="3"/>
      <c r="J138" s="3"/>
      <c r="K138" s="3"/>
    </row>
    <row r="139" spans="1:13" ht="15" customHeight="1" x14ac:dyDescent="0.25">
      <c r="A139" s="10" t="s">
        <v>295</v>
      </c>
      <c r="B139" s="10" t="s">
        <v>31</v>
      </c>
      <c r="C139" s="82" t="s">
        <v>7</v>
      </c>
      <c r="D139" s="83"/>
      <c r="E139" s="83"/>
      <c r="F139" s="83"/>
      <c r="G139" s="6" t="s">
        <v>32</v>
      </c>
      <c r="H139" s="6" t="s">
        <v>296</v>
      </c>
      <c r="I139" s="6" t="s">
        <v>297</v>
      </c>
      <c r="J139" s="57" t="s">
        <v>9</v>
      </c>
      <c r="K139" s="58"/>
    </row>
    <row r="140" spans="1:13" ht="15" customHeight="1" x14ac:dyDescent="0.25">
      <c r="A140" s="6" t="s">
        <v>11</v>
      </c>
      <c r="B140" s="6" t="s">
        <v>320</v>
      </c>
      <c r="C140" s="91" t="str">
        <f>VLOOKUP(B140,S!$A:$D,2,FALSE)</f>
        <v>ENCARGOS COMPLEMENTARES - ENCANADOR</v>
      </c>
      <c r="D140" s="91"/>
      <c r="E140" s="91"/>
      <c r="F140" s="92"/>
      <c r="G140" s="6" t="str">
        <f>VLOOKUP(B140,S!$A:$D,3,FALSE)</f>
        <v>H</v>
      </c>
      <c r="H140" s="21"/>
      <c r="I140" s="21">
        <f>J162</f>
        <v>2.8499999999999996</v>
      </c>
      <c r="J140" s="76"/>
      <c r="K140" s="72"/>
      <c r="L140" s="21">
        <f>VLOOKUP(B140,S!$A:$D,4,FALSE)</f>
        <v>2.9</v>
      </c>
      <c r="M140" s="6" t="str">
        <f>IF(ROUND((L140-I140),2)=0,"OK, confere com a tabela.",IF(ROUND((L140-I140),2)&lt;0,"ACIMA ("&amp;TEXT(ROUND(I140*100/L140,4),"0,0000")&amp;" %) da tabela.","ABAIXO ("&amp;TEXT(ROUND(I140*100/L140,4),"0,0000")&amp;" %) da tabela."))</f>
        <v>ABAIXO (98,2759 %) da tabela.</v>
      </c>
    </row>
    <row r="141" spans="1:13" ht="15" customHeight="1" x14ac:dyDescent="0.25">
      <c r="A141" s="16" t="s">
        <v>306</v>
      </c>
      <c r="B141" s="16" t="s">
        <v>519</v>
      </c>
      <c r="C141" s="77" t="str">
        <f>VLOOKUP(B141,IF(A141="COMPOSICAO",S!$A:$D,I!$A:$D),2,FALSE)</f>
        <v>ALMOÇO (PARTICIPAÇÃO DO EMPREGADOR)</v>
      </c>
      <c r="D141" s="77"/>
      <c r="E141" s="77"/>
      <c r="F141" s="77"/>
      <c r="G141" s="16" t="str">
        <f>VLOOKUP(B141,IF(A141="COMPOSICAO",S!$A:$D,I!$A:$D),3,FALSE)</f>
        <v>UN</v>
      </c>
      <c r="H141" s="29">
        <v>0.1018</v>
      </c>
      <c r="I141" s="17">
        <f>IF(A141="COMPOSICAO",VLOOKUP("TOTAL - "&amp;B141,COMPOSICAO_AUX_3!$A:$J,10,FALSE),VLOOKUP(B141,I!$A:$D,4,FALSE))</f>
        <v>10</v>
      </c>
      <c r="J141" s="80">
        <f t="shared" ref="J141:J161" si="5">TRUNC(H141*I141,2)</f>
        <v>1.01</v>
      </c>
      <c r="K141" s="81"/>
    </row>
    <row r="142" spans="1:13" ht="15" customHeight="1" x14ac:dyDescent="0.25">
      <c r="A142" s="16" t="s">
        <v>306</v>
      </c>
      <c r="B142" s="16" t="s">
        <v>520</v>
      </c>
      <c r="C142" s="77" t="str">
        <f>VLOOKUP(B142,IF(A142="COMPOSICAO",S!$A:$D,I!$A:$D),2,FALSE)</f>
        <v>FARDAMENTO</v>
      </c>
      <c r="D142" s="77"/>
      <c r="E142" s="77"/>
      <c r="F142" s="77"/>
      <c r="G142" s="16" t="str">
        <f>VLOOKUP(B142,IF(A142="COMPOSICAO",S!$A:$D,I!$A:$D),3,FALSE)</f>
        <v>UN</v>
      </c>
      <c r="H142" s="29">
        <v>1.5E-3</v>
      </c>
      <c r="I142" s="17">
        <f>IF(A142="COMPOSICAO",VLOOKUP("TOTAL - "&amp;B142,COMPOSICAO_AUX_3!$A:$J,10,FALSE),VLOOKUP(B142,I!$A:$D,4,FALSE))</f>
        <v>78.53</v>
      </c>
      <c r="J142" s="80">
        <f t="shared" si="5"/>
        <v>0.11</v>
      </c>
      <c r="K142" s="81"/>
    </row>
    <row r="143" spans="1:13" ht="15" customHeight="1" x14ac:dyDescent="0.25">
      <c r="A143" s="16" t="s">
        <v>306</v>
      </c>
      <c r="B143" s="16" t="s">
        <v>521</v>
      </c>
      <c r="C143" s="77" t="str">
        <f>VLOOKUP(B143,IF(A143="COMPOSICAO",S!$A:$D,I!$A:$D),2,FALSE)</f>
        <v>ÓCULOS BRANCO PROTEÇÃO</v>
      </c>
      <c r="D143" s="77"/>
      <c r="E143" s="77"/>
      <c r="F143" s="77"/>
      <c r="G143" s="16" t="str">
        <f>VLOOKUP(B143,IF(A143="COMPOSICAO",S!$A:$D,I!$A:$D),3,FALSE)</f>
        <v>PR</v>
      </c>
      <c r="H143" s="29">
        <v>8.0000000000000004E-4</v>
      </c>
      <c r="I143" s="17">
        <f>IF(A143="COMPOSICAO",VLOOKUP("TOTAL - "&amp;B143,COMPOSICAO_AUX_3!$A:$J,10,FALSE),VLOOKUP(B143,I!$A:$D,4,FALSE))</f>
        <v>5.9</v>
      </c>
      <c r="J143" s="80">
        <f t="shared" si="5"/>
        <v>0</v>
      </c>
      <c r="K143" s="81"/>
    </row>
    <row r="144" spans="1:13" ht="15" customHeight="1" x14ac:dyDescent="0.25">
      <c r="A144" s="16" t="s">
        <v>306</v>
      </c>
      <c r="B144" s="16" t="s">
        <v>522</v>
      </c>
      <c r="C144" s="77" t="str">
        <f>VLOOKUP(B144,IF(A144="COMPOSICAO",S!$A:$D,I!$A:$D),2,FALSE)</f>
        <v>VALE TRANSPORTE</v>
      </c>
      <c r="D144" s="77"/>
      <c r="E144" s="77"/>
      <c r="F144" s="77"/>
      <c r="G144" s="16" t="str">
        <f>VLOOKUP(B144,IF(A144="COMPOSICAO",S!$A:$D,I!$A:$D),3,FALSE)</f>
        <v>UN</v>
      </c>
      <c r="H144" s="29">
        <v>6.54E-2</v>
      </c>
      <c r="I144" s="17">
        <f>IF(A144="COMPOSICAO",VLOOKUP("TOTAL - "&amp;B144,COMPOSICAO_AUX_3!$A:$J,10,FALSE),VLOOKUP(B144,I!$A:$D,4,FALSE))</f>
        <v>4</v>
      </c>
      <c r="J144" s="80">
        <f t="shared" si="5"/>
        <v>0.26</v>
      </c>
      <c r="K144" s="81"/>
    </row>
    <row r="145" spans="1:11" ht="15" customHeight="1" x14ac:dyDescent="0.25">
      <c r="A145" s="16" t="s">
        <v>306</v>
      </c>
      <c r="B145" s="16" t="s">
        <v>525</v>
      </c>
      <c r="C145" s="77" t="str">
        <f>VLOOKUP(B145,IF(A145="COMPOSICAO",S!$A:$D,I!$A:$D),2,FALSE)</f>
        <v>SEGURO DE VIDA E ACIDENTE EM GRUPO</v>
      </c>
      <c r="D145" s="77"/>
      <c r="E145" s="77"/>
      <c r="F145" s="77"/>
      <c r="G145" s="16" t="str">
        <f>VLOOKUP(B145,IF(A145="COMPOSICAO",S!$A:$D,I!$A:$D),3,FALSE)</f>
        <v>UN</v>
      </c>
      <c r="H145" s="29">
        <v>4.4999999999999997E-3</v>
      </c>
      <c r="I145" s="17">
        <f>IF(A145="COMPOSICAO",VLOOKUP("TOTAL - "&amp;B145,COMPOSICAO_AUX_3!$A:$J,10,FALSE),VLOOKUP(B145,I!$A:$D,4,FALSE))</f>
        <v>12.54</v>
      </c>
      <c r="J145" s="80">
        <f t="shared" si="5"/>
        <v>0.05</v>
      </c>
      <c r="K145" s="81"/>
    </row>
    <row r="146" spans="1:11" ht="15" customHeight="1" x14ac:dyDescent="0.25">
      <c r="A146" s="16" t="s">
        <v>306</v>
      </c>
      <c r="B146" s="16" t="s">
        <v>526</v>
      </c>
      <c r="C146" s="77" t="str">
        <f>VLOOKUP(B146,IF(A146="COMPOSICAO",S!$A:$D,I!$A:$D),2,FALSE)</f>
        <v>CESTA BÁSICA</v>
      </c>
      <c r="D146" s="77"/>
      <c r="E146" s="77"/>
      <c r="F146" s="77"/>
      <c r="G146" s="16" t="str">
        <f>VLOOKUP(B146,IF(A146="COMPOSICAO",S!$A:$D,I!$A:$D),3,FALSE)</f>
        <v>UN</v>
      </c>
      <c r="H146" s="29">
        <v>4.4999999999999997E-3</v>
      </c>
      <c r="I146" s="17">
        <f>IF(A146="COMPOSICAO",VLOOKUP("TOTAL - "&amp;B146,COMPOSICAO_AUX_3!$A:$J,10,FALSE),VLOOKUP(B146,I!$A:$D,4,FALSE))</f>
        <v>140</v>
      </c>
      <c r="J146" s="80">
        <f t="shared" si="5"/>
        <v>0.63</v>
      </c>
      <c r="K146" s="81"/>
    </row>
    <row r="147" spans="1:11" ht="15" customHeight="1" x14ac:dyDescent="0.25">
      <c r="A147" s="16" t="s">
        <v>306</v>
      </c>
      <c r="B147" s="16" t="s">
        <v>527</v>
      </c>
      <c r="C147" s="77" t="str">
        <f>VLOOKUP(B147,IF(A147="COMPOSICAO",S!$A:$D,I!$A:$D),2,FALSE)</f>
        <v>EXAMES ADMISSIONAIS/DEMISSIONAIS (CHECKUP)</v>
      </c>
      <c r="D147" s="77"/>
      <c r="E147" s="77"/>
      <c r="F147" s="77"/>
      <c r="G147" s="16" t="str">
        <f>VLOOKUP(B147,IF(A147="COMPOSICAO",S!$A:$D,I!$A:$D),3,FALSE)</f>
        <v>CJ</v>
      </c>
      <c r="H147" s="29">
        <v>4.0000000000000002E-4</v>
      </c>
      <c r="I147" s="17">
        <f>IF(A147="COMPOSICAO",VLOOKUP("TOTAL - "&amp;B147,COMPOSICAO_AUX_3!$A:$J,10,FALSE),VLOOKUP(B147,I!$A:$D,4,FALSE))</f>
        <v>300</v>
      </c>
      <c r="J147" s="80">
        <f t="shared" si="5"/>
        <v>0.12</v>
      </c>
      <c r="K147" s="81"/>
    </row>
    <row r="148" spans="1:11" ht="15" customHeight="1" x14ac:dyDescent="0.25">
      <c r="A148" s="16" t="s">
        <v>306</v>
      </c>
      <c r="B148" s="16" t="s">
        <v>533</v>
      </c>
      <c r="C148" s="77" t="str">
        <f>VLOOKUP(B148,IF(A148="COMPOSICAO",S!$A:$D,I!$A:$D),2,FALSE)</f>
        <v>LIMA CHATA 12"</v>
      </c>
      <c r="D148" s="77"/>
      <c r="E148" s="77"/>
      <c r="F148" s="77"/>
      <c r="G148" s="16" t="str">
        <f>VLOOKUP(B148,IF(A148="COMPOSICAO",S!$A:$D,I!$A:$D),3,FALSE)</f>
        <v>UN</v>
      </c>
      <c r="H148" s="29">
        <v>1E-4</v>
      </c>
      <c r="I148" s="17">
        <f>IF(A148="COMPOSICAO",VLOOKUP("TOTAL - "&amp;B148,COMPOSICAO_AUX_3!$A:$J,10,FALSE),VLOOKUP(B148,I!$A:$D,4,FALSE))</f>
        <v>32.25</v>
      </c>
      <c r="J148" s="80">
        <f t="shared" si="5"/>
        <v>0</v>
      </c>
      <c r="K148" s="81"/>
    </row>
    <row r="149" spans="1:11" ht="15" customHeight="1" x14ac:dyDescent="0.25">
      <c r="A149" s="16" t="s">
        <v>306</v>
      </c>
      <c r="B149" s="16" t="s">
        <v>534</v>
      </c>
      <c r="C149" s="77" t="str">
        <f>VLOOKUP(B149,IF(A149="COMPOSICAO",S!$A:$D,I!$A:$D),2,FALSE)</f>
        <v>PRAIO SIMPLES 30CM</v>
      </c>
      <c r="D149" s="77"/>
      <c r="E149" s="77"/>
      <c r="F149" s="77"/>
      <c r="G149" s="16" t="str">
        <f>VLOOKUP(B149,IF(A149="COMPOSICAO",S!$A:$D,I!$A:$D),3,FALSE)</f>
        <v>UN</v>
      </c>
      <c r="H149" s="29">
        <v>1E-4</v>
      </c>
      <c r="I149" s="17">
        <f>IF(A149="COMPOSICAO",VLOOKUP("TOTAL - "&amp;B149,COMPOSICAO_AUX_3!$A:$J,10,FALSE),VLOOKUP(B149,I!$A:$D,4,FALSE))</f>
        <v>19.57</v>
      </c>
      <c r="J149" s="80">
        <f t="shared" si="5"/>
        <v>0</v>
      </c>
      <c r="K149" s="81"/>
    </row>
    <row r="150" spans="1:11" ht="15" customHeight="1" x14ac:dyDescent="0.25">
      <c r="A150" s="16" t="s">
        <v>306</v>
      </c>
      <c r="B150" s="16" t="s">
        <v>528</v>
      </c>
      <c r="C150" s="77" t="str">
        <f>VLOOKUP(B150,IF(A150="COMPOSICAO",S!$A:$D,I!$A:$D),2,FALSE)</f>
        <v>PROTETOR AURICULAR</v>
      </c>
      <c r="D150" s="77"/>
      <c r="E150" s="77"/>
      <c r="F150" s="77"/>
      <c r="G150" s="16" t="str">
        <f>VLOOKUP(B150,IF(A150="COMPOSICAO",S!$A:$D,I!$A:$D),3,FALSE)</f>
        <v>UN</v>
      </c>
      <c r="H150" s="29">
        <v>4.4999999999999997E-3</v>
      </c>
      <c r="I150" s="17">
        <f>IF(A150="COMPOSICAO",VLOOKUP("TOTAL - "&amp;B150,COMPOSICAO_AUX_3!$A:$J,10,FALSE),VLOOKUP(B150,I!$A:$D,4,FALSE))</f>
        <v>4.9000000000000004</v>
      </c>
      <c r="J150" s="80">
        <f t="shared" si="5"/>
        <v>0.02</v>
      </c>
      <c r="K150" s="81"/>
    </row>
    <row r="151" spans="1:11" ht="15" customHeight="1" x14ac:dyDescent="0.25">
      <c r="A151" s="16" t="s">
        <v>306</v>
      </c>
      <c r="B151" s="16" t="s">
        <v>529</v>
      </c>
      <c r="C151" s="77" t="str">
        <f>VLOOKUP(B151,IF(A151="COMPOSICAO",S!$A:$D,I!$A:$D),2,FALSE)</f>
        <v>PROTETOR SOLAR FPS 30 COM 120ML</v>
      </c>
      <c r="D151" s="77"/>
      <c r="E151" s="77"/>
      <c r="F151" s="77"/>
      <c r="G151" s="16" t="str">
        <f>VLOOKUP(B151,IF(A151="COMPOSICAO",S!$A:$D,I!$A:$D),3,FALSE)</f>
        <v>UN</v>
      </c>
      <c r="H151" s="29">
        <v>1.8E-3</v>
      </c>
      <c r="I151" s="17">
        <f>IF(A151="COMPOSICAO",VLOOKUP("TOTAL - "&amp;B151,COMPOSICAO_AUX_3!$A:$J,10,FALSE),VLOOKUP(B151,I!$A:$D,4,FALSE))</f>
        <v>35.9</v>
      </c>
      <c r="J151" s="80">
        <f t="shared" si="5"/>
        <v>0.06</v>
      </c>
      <c r="K151" s="81"/>
    </row>
    <row r="152" spans="1:11" ht="30" customHeight="1" x14ac:dyDescent="0.25">
      <c r="A152" s="16" t="s">
        <v>306</v>
      </c>
      <c r="B152" s="16" t="s">
        <v>530</v>
      </c>
      <c r="C152" s="77" t="str">
        <f>VLOOKUP(B152,IF(A152="COMPOSICAO",S!$A:$D,I!$A:$D),2,FALSE)</f>
        <v>REFEIÇÃO - CAFÉ DA MANHÃ ( CAFÉ COM LEITE E DOIS PÃES COM MANTEIGA)</v>
      </c>
      <c r="D152" s="77"/>
      <c r="E152" s="77"/>
      <c r="F152" s="77"/>
      <c r="G152" s="16" t="str">
        <f>VLOOKUP(B152,IF(A152="COMPOSICAO",S!$A:$D,I!$A:$D),3,FALSE)</f>
        <v>UN</v>
      </c>
      <c r="H152" s="29">
        <v>0.1018</v>
      </c>
      <c r="I152" s="17">
        <f>IF(A152="COMPOSICAO",VLOOKUP("TOTAL - "&amp;B152,COMPOSICAO_AUX_3!$A:$J,10,FALSE),VLOOKUP(B152,I!$A:$D,4,FALSE))</f>
        <v>4.5</v>
      </c>
      <c r="J152" s="80">
        <f t="shared" si="5"/>
        <v>0.45</v>
      </c>
      <c r="K152" s="81"/>
    </row>
    <row r="153" spans="1:11" ht="15" customHeight="1" x14ac:dyDescent="0.25">
      <c r="A153" s="16" t="s">
        <v>306</v>
      </c>
      <c r="B153" s="16" t="s">
        <v>535</v>
      </c>
      <c r="C153" s="77" t="str">
        <f>VLOOKUP(B153,IF(A153="COMPOSICAO",S!$A:$D,I!$A:$D),2,FALSE)</f>
        <v>TARRACHA PARA TUBOS PVC DE 1/2"</v>
      </c>
      <c r="D153" s="77"/>
      <c r="E153" s="77"/>
      <c r="F153" s="77"/>
      <c r="G153" s="16" t="str">
        <f>VLOOKUP(B153,IF(A153="COMPOSICAO",S!$A:$D,I!$A:$D),3,FALSE)</f>
        <v>UN</v>
      </c>
      <c r="H153" s="29">
        <v>1.1000000000000001E-3</v>
      </c>
      <c r="I153" s="17">
        <f>IF(A153="COMPOSICAO",VLOOKUP("TOTAL - "&amp;B153,COMPOSICAO_AUX_3!$A:$J,10,FALSE),VLOOKUP(B153,I!$A:$D,4,FALSE))</f>
        <v>21</v>
      </c>
      <c r="J153" s="80">
        <f t="shared" si="5"/>
        <v>0.02</v>
      </c>
      <c r="K153" s="81"/>
    </row>
    <row r="154" spans="1:11" ht="15" customHeight="1" x14ac:dyDescent="0.25">
      <c r="A154" s="16" t="s">
        <v>306</v>
      </c>
      <c r="B154" s="16" t="s">
        <v>536</v>
      </c>
      <c r="C154" s="77" t="str">
        <f>VLOOKUP(B154,IF(A154="COMPOSICAO",S!$A:$D,I!$A:$D),2,FALSE)</f>
        <v>TARRACHA PARA TUBOS PVC DE 3/4"</v>
      </c>
      <c r="D154" s="77"/>
      <c r="E154" s="77"/>
      <c r="F154" s="77"/>
      <c r="G154" s="16" t="str">
        <f>VLOOKUP(B154,IF(A154="COMPOSICAO",S!$A:$D,I!$A:$D),3,FALSE)</f>
        <v>UN</v>
      </c>
      <c r="H154" s="29">
        <v>6.9999999999999999E-4</v>
      </c>
      <c r="I154" s="17">
        <f>IF(A154="COMPOSICAO",VLOOKUP("TOTAL - "&amp;B154,COMPOSICAO_AUX_3!$A:$J,10,FALSE),VLOOKUP(B154,I!$A:$D,4,FALSE))</f>
        <v>22.8</v>
      </c>
      <c r="J154" s="80">
        <f t="shared" si="5"/>
        <v>0.01</v>
      </c>
      <c r="K154" s="81"/>
    </row>
    <row r="155" spans="1:11" ht="15" customHeight="1" x14ac:dyDescent="0.25">
      <c r="A155" s="16" t="s">
        <v>306</v>
      </c>
      <c r="B155" s="16" t="s">
        <v>537</v>
      </c>
      <c r="C155" s="77" t="str">
        <f>VLOOKUP(B155,IF(A155="COMPOSICAO",S!$A:$D,I!$A:$D),2,FALSE)</f>
        <v>TARRACHA PARA TUBOS PVC DE 1"</v>
      </c>
      <c r="D155" s="77"/>
      <c r="E155" s="77"/>
      <c r="F155" s="77"/>
      <c r="G155" s="16" t="str">
        <f>VLOOKUP(B155,IF(A155="COMPOSICAO",S!$A:$D,I!$A:$D),3,FALSE)</f>
        <v>UN</v>
      </c>
      <c r="H155" s="29">
        <v>5.9999999999999995E-4</v>
      </c>
      <c r="I155" s="17">
        <f>IF(A155="COMPOSICAO",VLOOKUP("TOTAL - "&amp;B155,COMPOSICAO_AUX_3!$A:$J,10,FALSE),VLOOKUP(B155,I!$A:$D,4,FALSE))</f>
        <v>21.96</v>
      </c>
      <c r="J155" s="80">
        <f t="shared" si="5"/>
        <v>0.01</v>
      </c>
      <c r="K155" s="81"/>
    </row>
    <row r="156" spans="1:11" ht="15" customHeight="1" x14ac:dyDescent="0.25">
      <c r="A156" s="16" t="s">
        <v>306</v>
      </c>
      <c r="B156" s="16" t="s">
        <v>538</v>
      </c>
      <c r="C156" s="77" t="str">
        <f>VLOOKUP(B156,IF(A156="COMPOSICAO",S!$A:$D,I!$A:$D),2,FALSE)</f>
        <v>TARRACHA PARA TUBOS PVC DE 1 1/2"</v>
      </c>
      <c r="D156" s="77"/>
      <c r="E156" s="77"/>
      <c r="F156" s="77"/>
      <c r="G156" s="16" t="str">
        <f>VLOOKUP(B156,IF(A156="COMPOSICAO",S!$A:$D,I!$A:$D),3,FALSE)</f>
        <v>UN</v>
      </c>
      <c r="H156" s="29">
        <v>4.0000000000000002E-4</v>
      </c>
      <c r="I156" s="17">
        <f>IF(A156="COMPOSICAO",VLOOKUP("TOTAL - "&amp;B156,COMPOSICAO_AUX_3!$A:$J,10,FALSE),VLOOKUP(B156,I!$A:$D,4,FALSE))</f>
        <v>60</v>
      </c>
      <c r="J156" s="80">
        <f t="shared" si="5"/>
        <v>0.02</v>
      </c>
      <c r="K156" s="81"/>
    </row>
    <row r="157" spans="1:11" ht="15" customHeight="1" x14ac:dyDescent="0.25">
      <c r="A157" s="16" t="s">
        <v>306</v>
      </c>
      <c r="B157" s="16" t="s">
        <v>539</v>
      </c>
      <c r="C157" s="77" t="str">
        <f>VLOOKUP(B157,IF(A157="COMPOSICAO",S!$A:$D,I!$A:$D),2,FALSE)</f>
        <v>TARRACHA PARA TUBOS PVC DE 1 1/4"</v>
      </c>
      <c r="D157" s="77"/>
      <c r="E157" s="77"/>
      <c r="F157" s="77"/>
      <c r="G157" s="16" t="str">
        <f>VLOOKUP(B157,IF(A157="COMPOSICAO",S!$A:$D,I!$A:$D),3,FALSE)</f>
        <v>UN</v>
      </c>
      <c r="H157" s="29">
        <v>4.0000000000000002E-4</v>
      </c>
      <c r="I157" s="17">
        <f>IF(A157="COMPOSICAO",VLOOKUP("TOTAL - "&amp;B157,COMPOSICAO_AUX_3!$A:$J,10,FALSE),VLOOKUP(B157,I!$A:$D,4,FALSE))</f>
        <v>31.36</v>
      </c>
      <c r="J157" s="80">
        <f t="shared" si="5"/>
        <v>0.01</v>
      </c>
      <c r="K157" s="81"/>
    </row>
    <row r="158" spans="1:11" ht="30" customHeight="1" x14ac:dyDescent="0.25">
      <c r="A158" s="16" t="s">
        <v>306</v>
      </c>
      <c r="B158" s="20">
        <v>12892</v>
      </c>
      <c r="C158" s="77" t="str">
        <f>VLOOKUP(B158,IF(A158="COMPOSICAO",S!$A:$D,I!$A:$D),2,FALSE)</f>
        <v>LUVA RASPA DE COURO, CANO CURTO (PUNHO *7* CM)</v>
      </c>
      <c r="D158" s="77"/>
      <c r="E158" s="77"/>
      <c r="F158" s="77"/>
      <c r="G158" s="16" t="str">
        <f>VLOOKUP(B158,IF(A158="COMPOSICAO",S!$A:$D,I!$A:$D),3,FALSE)</f>
        <v>PAR</v>
      </c>
      <c r="H158" s="29">
        <v>2.3E-3</v>
      </c>
      <c r="I158" s="17">
        <f>IF(A158="COMPOSICAO",VLOOKUP("TOTAL - "&amp;B158,COMPOSICAO_AUX_3!$A:$J,10,FALSE),VLOOKUP(B158,I!$A:$D,4,FALSE))</f>
        <v>12.91</v>
      </c>
      <c r="J158" s="80">
        <f t="shared" si="5"/>
        <v>0.02</v>
      </c>
      <c r="K158" s="81"/>
    </row>
    <row r="159" spans="1:11" ht="30" customHeight="1" x14ac:dyDescent="0.25">
      <c r="A159" s="16" t="s">
        <v>306</v>
      </c>
      <c r="B159" s="20">
        <v>12893</v>
      </c>
      <c r="C159" s="77" t="str">
        <f>VLOOKUP(B159,IF(A159="COMPOSICAO",S!$A:$D,I!$A:$D),2,FALSE)</f>
        <v>BOTA DE SEGURANCA COM BIQUEIRA DE ACO E COLARINHO ACOLCHOADO</v>
      </c>
      <c r="D159" s="77"/>
      <c r="E159" s="77"/>
      <c r="F159" s="77"/>
      <c r="G159" s="16" t="str">
        <f>VLOOKUP(B159,IF(A159="COMPOSICAO",S!$A:$D,I!$A:$D),3,FALSE)</f>
        <v>PAR</v>
      </c>
      <c r="H159" s="29">
        <v>8.0000000000000004E-4</v>
      </c>
      <c r="I159" s="17">
        <f>IF(A159="COMPOSICAO",VLOOKUP("TOTAL - "&amp;B159,COMPOSICAO_AUX_3!$A:$J,10,FALSE),VLOOKUP(B159,I!$A:$D,4,FALSE))</f>
        <v>68.88</v>
      </c>
      <c r="J159" s="80">
        <f t="shared" si="5"/>
        <v>0.05</v>
      </c>
      <c r="K159" s="81"/>
    </row>
    <row r="160" spans="1:11" ht="30" customHeight="1" x14ac:dyDescent="0.25">
      <c r="A160" s="16" t="s">
        <v>306</v>
      </c>
      <c r="B160" s="20">
        <v>12894</v>
      </c>
      <c r="C160" s="77" t="str">
        <f>VLOOKUP(B160,IF(A160="COMPOSICAO",S!$A:$D,I!$A:$D),2,FALSE)</f>
        <v>CAPA PARA CHUVA EM PVC COM FORRO DE POLIESTER, COM CAPUZ (AMARELA OU AZUL)</v>
      </c>
      <c r="D160" s="77"/>
      <c r="E160" s="77"/>
      <c r="F160" s="77"/>
      <c r="G160" s="16" t="str">
        <f>VLOOKUP(B160,IF(A160="COMPOSICAO",S!$A:$D,I!$A:$D),3,FALSE)</f>
        <v>UN</v>
      </c>
      <c r="H160" s="29">
        <v>2.0000000000000001E-4</v>
      </c>
      <c r="I160" s="17">
        <f>IF(A160="COMPOSICAO",VLOOKUP("TOTAL - "&amp;B160,COMPOSICAO_AUX_3!$A:$J,10,FALSE),VLOOKUP(B160,I!$A:$D,4,FALSE))</f>
        <v>18.649999999999999</v>
      </c>
      <c r="J160" s="80">
        <f t="shared" si="5"/>
        <v>0</v>
      </c>
      <c r="K160" s="81"/>
    </row>
    <row r="161" spans="1:13" ht="30" customHeight="1" x14ac:dyDescent="0.25">
      <c r="A161" s="16" t="s">
        <v>306</v>
      </c>
      <c r="B161" s="20">
        <v>12895</v>
      </c>
      <c r="C161" s="77" t="str">
        <f>VLOOKUP(B161,IF(A161="COMPOSICAO",S!$A:$D,I!$A:$D),2,FALSE)</f>
        <v>CAPACETE DE SEGURANCA ABA FRONTAL COM SUSPENSAO DE POLIETILENO, SEM JUGULAR (CLASSE B)</v>
      </c>
      <c r="D161" s="77"/>
      <c r="E161" s="77"/>
      <c r="F161" s="77"/>
      <c r="G161" s="16" t="str">
        <f>VLOOKUP(B161,IF(A161="COMPOSICAO",S!$A:$D,I!$A:$D),3,FALSE)</f>
        <v>UN</v>
      </c>
      <c r="H161" s="29">
        <v>5.9999999999999995E-4</v>
      </c>
      <c r="I161" s="17">
        <f>IF(A161="COMPOSICAO",VLOOKUP("TOTAL - "&amp;B161,COMPOSICAO_AUX_3!$A:$J,10,FALSE),VLOOKUP(B161,I!$A:$D,4,FALSE))</f>
        <v>14.35</v>
      </c>
      <c r="J161" s="80">
        <f t="shared" si="5"/>
        <v>0</v>
      </c>
      <c r="K161" s="81"/>
    </row>
    <row r="162" spans="1:13" ht="15" customHeight="1" x14ac:dyDescent="0.25">
      <c r="A162" s="23" t="s">
        <v>540</v>
      </c>
      <c r="B162" s="24"/>
      <c r="C162" s="24"/>
      <c r="D162" s="24"/>
      <c r="E162" s="24"/>
      <c r="F162" s="24"/>
      <c r="G162" s="25"/>
      <c r="H162" s="26"/>
      <c r="I162" s="27"/>
      <c r="J162" s="80">
        <f>SUM(J140:K161)</f>
        <v>2.8499999999999996</v>
      </c>
      <c r="K162" s="81"/>
    </row>
    <row r="163" spans="1:13" ht="15" customHeight="1" x14ac:dyDescent="0.25">
      <c r="A163" s="3"/>
      <c r="B163" s="3"/>
      <c r="C163" s="3"/>
      <c r="D163" s="3"/>
      <c r="E163" s="3"/>
      <c r="F163" s="3"/>
      <c r="G163" s="3"/>
      <c r="H163" s="3"/>
      <c r="I163" s="3"/>
      <c r="J163" s="3"/>
      <c r="K163" s="3"/>
    </row>
    <row r="164" spans="1:13" ht="15" customHeight="1" x14ac:dyDescent="0.25">
      <c r="A164" s="10" t="s">
        <v>295</v>
      </c>
      <c r="B164" s="10" t="s">
        <v>31</v>
      </c>
      <c r="C164" s="82" t="s">
        <v>7</v>
      </c>
      <c r="D164" s="83"/>
      <c r="E164" s="83"/>
      <c r="F164" s="83"/>
      <c r="G164" s="6" t="s">
        <v>32</v>
      </c>
      <c r="H164" s="6" t="s">
        <v>296</v>
      </c>
      <c r="I164" s="6" t="s">
        <v>297</v>
      </c>
      <c r="J164" s="57" t="s">
        <v>9</v>
      </c>
      <c r="K164" s="58"/>
    </row>
    <row r="165" spans="1:13" ht="45" customHeight="1" x14ac:dyDescent="0.25">
      <c r="A165" s="6" t="s">
        <v>11</v>
      </c>
      <c r="B165" s="6" t="s">
        <v>517</v>
      </c>
      <c r="C165" s="91" t="str">
        <f>VLOOKUP(B165,S!$A:$D,2,FALSE)</f>
        <v>FORMA PLANA PARA ESTRUTURAS, EM COMPENSADO PLASTIFICADO DE 12MM, 10 USOS, INCLUSIVE ESCORAMENTO - REVISADA 07.2015</v>
      </c>
      <c r="D165" s="91"/>
      <c r="E165" s="91"/>
      <c r="F165" s="92"/>
      <c r="G165" s="6" t="str">
        <f>VLOOKUP(B165,S!$A:$D,3,FALSE)</f>
        <v>M2</v>
      </c>
      <c r="H165" s="21"/>
      <c r="I165" s="21">
        <f>J178</f>
        <v>38.700000000000003</v>
      </c>
      <c r="J165" s="76"/>
      <c r="K165" s="72"/>
      <c r="L165" s="21">
        <f>VLOOKUP(B165,S!$A:$D,4,FALSE)</f>
        <v>39.07</v>
      </c>
      <c r="M165" s="6" t="str">
        <f>IF(ROUND((L165-I165),2)=0,"OK, confere com a tabela.",IF(ROUND((L165-I165),2)&lt;0,"ACIMA ("&amp;TEXT(ROUND(I165*100/L165,4),"0,0000")&amp;" %) da tabela.","ABAIXO ("&amp;TEXT(ROUND(I165*100/L165,4),"0,0000")&amp;" %) da tabela."))</f>
        <v>ABAIXO (99,0530 %) da tabela.</v>
      </c>
    </row>
    <row r="166" spans="1:13" ht="30" customHeight="1" x14ac:dyDescent="0.25">
      <c r="A166" s="16" t="s">
        <v>306</v>
      </c>
      <c r="B166" s="16" t="s">
        <v>665</v>
      </c>
      <c r="C166" s="77" t="str">
        <f>VLOOKUP(B166,IF(A166="COMPOSICAO",S!$A:$D,I!$A:$D),2,FALSE)</f>
        <v>MADEIRA MISTA SERRADA (BARROTE) 6 X 6CM - 0,0036 M3/M (ANGELIM, LOURO)</v>
      </c>
      <c r="D166" s="77"/>
      <c r="E166" s="77"/>
      <c r="F166" s="77"/>
      <c r="G166" s="16" t="str">
        <f>VLOOKUP(B166,IF(A166="COMPOSICAO",S!$A:$D,I!$A:$D),3,FALSE)</f>
        <v>M</v>
      </c>
      <c r="H166" s="30">
        <v>0.61299999999999999</v>
      </c>
      <c r="I166" s="17">
        <f>IF(A166="COMPOSICAO",VLOOKUP("TOTAL - "&amp;B166,COMPOSICAO_AUX_3!$A:$J,10,FALSE),VLOOKUP(B166,I!$A:$D,4,FALSE))</f>
        <v>10.39</v>
      </c>
      <c r="J166" s="80">
        <f t="shared" ref="J166:J177" si="6">TRUNC(H166*I166,2)</f>
        <v>6.36</v>
      </c>
      <c r="K166" s="81"/>
    </row>
    <row r="167" spans="1:13" ht="15" customHeight="1" x14ac:dyDescent="0.25">
      <c r="A167" s="16" t="s">
        <v>306</v>
      </c>
      <c r="B167" s="20">
        <v>1213</v>
      </c>
      <c r="C167" s="77" t="str">
        <f>VLOOKUP(B167,IF(A167="COMPOSICAO",S!$A:$D,I!$A:$D),2,FALSE)</f>
        <v>CARPINTEIRO DE FORMAS</v>
      </c>
      <c r="D167" s="77"/>
      <c r="E167" s="77"/>
      <c r="F167" s="77"/>
      <c r="G167" s="16" t="str">
        <f>VLOOKUP(B167,IF(A167="COMPOSICAO",S!$A:$D,I!$A:$D),3,FALSE)</f>
        <v>H</v>
      </c>
      <c r="H167" s="30">
        <v>0.85299999999999998</v>
      </c>
      <c r="I167" s="17">
        <f>IF(A167="COMPOSICAO",VLOOKUP("TOTAL - "&amp;B167,COMPOSICAO_AUX_3!$A:$J,10,FALSE),VLOOKUP(B167,I!$A:$D,4,FALSE))</f>
        <v>14.93</v>
      </c>
      <c r="J167" s="80">
        <f t="shared" si="6"/>
        <v>12.73</v>
      </c>
      <c r="K167" s="81"/>
    </row>
    <row r="168" spans="1:13" ht="45" customHeight="1" x14ac:dyDescent="0.25">
      <c r="A168" s="16" t="s">
        <v>306</v>
      </c>
      <c r="B168" s="20">
        <v>1347</v>
      </c>
      <c r="C168" s="77" t="str">
        <f>VLOOKUP(B168,IF(A168="COMPOSICAO",S!$A:$D,I!$A:$D),2,FALSE)</f>
        <v>CHAPA DE MADEIRA COMPENSADA PLASTIFICADA PARA FORMA DE CONCRETO, DE 2,20 X 1,10 M, E = 12 MM</v>
      </c>
      <c r="D168" s="77"/>
      <c r="E168" s="77"/>
      <c r="F168" s="77"/>
      <c r="G168" s="16" t="str">
        <f>VLOOKUP(B168,IF(A168="COMPOSICAO",S!$A:$D,I!$A:$D),3,FALSE)</f>
        <v>M2</v>
      </c>
      <c r="H168" s="30">
        <v>0.11700000000000001</v>
      </c>
      <c r="I168" s="17">
        <f>IF(A168="COMPOSICAO",VLOOKUP("TOTAL - "&amp;B168,COMPOSICAO_AUX_3!$A:$J,10,FALSE),VLOOKUP(B168,I!$A:$D,4,FALSE))</f>
        <v>48.76</v>
      </c>
      <c r="J168" s="80">
        <f t="shared" si="6"/>
        <v>5.7</v>
      </c>
      <c r="K168" s="81"/>
    </row>
    <row r="169" spans="1:13" ht="30" customHeight="1" x14ac:dyDescent="0.25">
      <c r="A169" s="16" t="s">
        <v>306</v>
      </c>
      <c r="B169" s="20">
        <v>2692</v>
      </c>
      <c r="C169" s="77" t="str">
        <f>VLOOKUP(B169,IF(A169="COMPOSICAO",S!$A:$D,I!$A:$D),2,FALSE)</f>
        <v>DESMOLDANTE PROTETOR PARA FORMAS DE MADEIRA, DE BASE OLEOSA EMULSIONADA EM AGUA</v>
      </c>
      <c r="D169" s="77"/>
      <c r="E169" s="77"/>
      <c r="F169" s="77"/>
      <c r="G169" s="16" t="str">
        <f>VLOOKUP(B169,IF(A169="COMPOSICAO",S!$A:$D,I!$A:$D),3,FALSE)</f>
        <v>L</v>
      </c>
      <c r="H169" s="17">
        <v>0.02</v>
      </c>
      <c r="I169" s="17">
        <f>IF(A169="COMPOSICAO",VLOOKUP("TOTAL - "&amp;B169,COMPOSICAO_AUX_3!$A:$J,10,FALSE),VLOOKUP(B169,I!$A:$D,4,FALSE))</f>
        <v>6.94</v>
      </c>
      <c r="J169" s="80">
        <f t="shared" si="6"/>
        <v>0.13</v>
      </c>
      <c r="K169" s="81"/>
    </row>
    <row r="170" spans="1:13" ht="30" customHeight="1" x14ac:dyDescent="0.25">
      <c r="A170" s="16" t="s">
        <v>306</v>
      </c>
      <c r="B170" s="20">
        <v>4509</v>
      </c>
      <c r="C170" s="77" t="str">
        <f>VLOOKUP(B170,IF(A170="COMPOSICAO",S!$A:$D,I!$A:$D),2,FALSE)</f>
        <v>SARRAFO *2,5 X 10* CM EM PINUS, MISTA OU EQUIVALENTE DA REGIAO - BRUTA</v>
      </c>
      <c r="D170" s="77"/>
      <c r="E170" s="77"/>
      <c r="F170" s="77"/>
      <c r="G170" s="16" t="str">
        <f>VLOOKUP(B170,IF(A170="COMPOSICAO",S!$A:$D,I!$A:$D),3,FALSE)</f>
        <v>M</v>
      </c>
      <c r="H170" s="30">
        <v>0.54400000000000004</v>
      </c>
      <c r="I170" s="17">
        <f>IF(A170="COMPOSICAO",VLOOKUP("TOTAL - "&amp;B170,COMPOSICAO_AUX_3!$A:$J,10,FALSE),VLOOKUP(B170,I!$A:$D,4,FALSE))</f>
        <v>3.38</v>
      </c>
      <c r="J170" s="80">
        <f t="shared" si="6"/>
        <v>1.83</v>
      </c>
      <c r="K170" s="81"/>
    </row>
    <row r="171" spans="1:13" ht="30" customHeight="1" x14ac:dyDescent="0.25">
      <c r="A171" s="16" t="s">
        <v>306</v>
      </c>
      <c r="B171" s="20">
        <v>5068</v>
      </c>
      <c r="C171" s="77" t="str">
        <f>VLOOKUP(B171,IF(A171="COMPOSICAO",S!$A:$D,I!$A:$D),2,FALSE)</f>
        <v>PREGO DE ACO POLIDO COM CABECA 17 X 21 (2 X 11)</v>
      </c>
      <c r="D171" s="77"/>
      <c r="E171" s="77"/>
      <c r="F171" s="77"/>
      <c r="G171" s="16" t="str">
        <f>VLOOKUP(B171,IF(A171="COMPOSICAO",S!$A:$D,I!$A:$D),3,FALSE)</f>
        <v>KG</v>
      </c>
      <c r="H171" s="30">
        <v>2.5000000000000001E-2</v>
      </c>
      <c r="I171" s="17">
        <f>IF(A171="COMPOSICAO",VLOOKUP("TOTAL - "&amp;B171,COMPOSICAO_AUX_3!$A:$J,10,FALSE),VLOOKUP(B171,I!$A:$D,4,FALSE))</f>
        <v>19.329999999999998</v>
      </c>
      <c r="J171" s="80">
        <f t="shared" si="6"/>
        <v>0.48</v>
      </c>
      <c r="K171" s="81"/>
    </row>
    <row r="172" spans="1:13" ht="30" customHeight="1" x14ac:dyDescent="0.25">
      <c r="A172" s="16" t="s">
        <v>306</v>
      </c>
      <c r="B172" s="20">
        <v>5069</v>
      </c>
      <c r="C172" s="77" t="str">
        <f>VLOOKUP(B172,IF(A172="COMPOSICAO",S!$A:$D,I!$A:$D),2,FALSE)</f>
        <v>PREGO DE ACO POLIDO COM CABECA 17 X 27 (2 1/2 X 11)</v>
      </c>
      <c r="D172" s="77"/>
      <c r="E172" s="77"/>
      <c r="F172" s="77"/>
      <c r="G172" s="16" t="str">
        <f>VLOOKUP(B172,IF(A172="COMPOSICAO",S!$A:$D,I!$A:$D),3,FALSE)</f>
        <v>KG</v>
      </c>
      <c r="H172" s="17">
        <v>0.1</v>
      </c>
      <c r="I172" s="17">
        <f>IF(A172="COMPOSICAO",VLOOKUP("TOTAL - "&amp;B172,COMPOSICAO_AUX_3!$A:$J,10,FALSE),VLOOKUP(B172,I!$A:$D,4,FALSE))</f>
        <v>19.7</v>
      </c>
      <c r="J172" s="80">
        <f t="shared" si="6"/>
        <v>1.97</v>
      </c>
      <c r="K172" s="81"/>
    </row>
    <row r="173" spans="1:13" ht="15" customHeight="1" x14ac:dyDescent="0.25">
      <c r="A173" s="16" t="s">
        <v>306</v>
      </c>
      <c r="B173" s="20">
        <v>6111</v>
      </c>
      <c r="C173" s="77" t="str">
        <f>VLOOKUP(B173,IF(A173="COMPOSICAO",S!$A:$D,I!$A:$D),2,FALSE)</f>
        <v>SERVENTE DE OBRAS</v>
      </c>
      <c r="D173" s="77"/>
      <c r="E173" s="77"/>
      <c r="F173" s="77"/>
      <c r="G173" s="16" t="str">
        <f>VLOOKUP(B173,IF(A173="COMPOSICAO",S!$A:$D,I!$A:$D),3,FALSE)</f>
        <v>H</v>
      </c>
      <c r="H173" s="30">
        <v>0.21299999999999999</v>
      </c>
      <c r="I173" s="17">
        <f>IF(A173="COMPOSICAO",VLOOKUP("TOTAL - "&amp;B173,COMPOSICAO_AUX_3!$A:$J,10,FALSE),VLOOKUP(B173,I!$A:$D,4,FALSE))</f>
        <v>10.6</v>
      </c>
      <c r="J173" s="80">
        <f t="shared" si="6"/>
        <v>2.25</v>
      </c>
      <c r="K173" s="81"/>
    </row>
    <row r="174" spans="1:13" ht="45" customHeight="1" x14ac:dyDescent="0.25">
      <c r="A174" s="16" t="s">
        <v>306</v>
      </c>
      <c r="B174" s="20">
        <v>6193</v>
      </c>
      <c r="C174" s="77" t="str">
        <f>VLOOKUP(B174,IF(A174="COMPOSICAO",S!$A:$D,I!$A:$D),2,FALSE)</f>
        <v>TABUA  NAO  APARELHADA  *2,5 X 20* CM, EM MACARANDUBA, ANGELIM OU EQUIVALENTE DA REGIAO - BRUTA</v>
      </c>
      <c r="D174" s="77"/>
      <c r="E174" s="77"/>
      <c r="F174" s="77"/>
      <c r="G174" s="16" t="str">
        <f>VLOOKUP(B174,IF(A174="COMPOSICAO",S!$A:$D,I!$A:$D),3,FALSE)</f>
        <v>M</v>
      </c>
      <c r="H174" s="30">
        <v>6.0999999999999999E-2</v>
      </c>
      <c r="I174" s="17">
        <f>IF(A174="COMPOSICAO",VLOOKUP("TOTAL - "&amp;B174,COMPOSICAO_AUX_3!$A:$J,10,FALSE),VLOOKUP(B174,I!$A:$D,4,FALSE))</f>
        <v>13.42</v>
      </c>
      <c r="J174" s="80">
        <f t="shared" si="6"/>
        <v>0.81</v>
      </c>
      <c r="K174" s="81"/>
    </row>
    <row r="175" spans="1:13" ht="30" customHeight="1" x14ac:dyDescent="0.25">
      <c r="A175" s="16" t="s">
        <v>306</v>
      </c>
      <c r="B175" s="20">
        <v>43130</v>
      </c>
      <c r="C175" s="77" t="str">
        <f>VLOOKUP(B175,IF(A175="COMPOSICAO",S!$A:$D,I!$A:$D),2,FALSE)</f>
        <v>ARAME GALVANIZADO 12 BWG, D = 2,76 MM (0,048 KG/M) OU 14 BWG, D = 2,11 MM (0,026 KG/M)</v>
      </c>
      <c r="D175" s="77"/>
      <c r="E175" s="77"/>
      <c r="F175" s="77"/>
      <c r="G175" s="16" t="str">
        <f>VLOOKUP(B175,IF(A175="COMPOSICAO",S!$A:$D,I!$A:$D),3,FALSE)</f>
        <v>KG</v>
      </c>
      <c r="H175" s="17">
        <v>0.15</v>
      </c>
      <c r="I175" s="17">
        <f>IF(A175="COMPOSICAO",VLOOKUP("TOTAL - "&amp;B175,COMPOSICAO_AUX_3!$A:$J,10,FALSE),VLOOKUP(B175,I!$A:$D,4,FALSE))</f>
        <v>22.75</v>
      </c>
      <c r="J175" s="80">
        <f t="shared" si="6"/>
        <v>3.41</v>
      </c>
      <c r="K175" s="81"/>
    </row>
    <row r="176" spans="1:13" ht="15" customHeight="1" x14ac:dyDescent="0.25">
      <c r="A176" s="16" t="s">
        <v>302</v>
      </c>
      <c r="B176" s="16" t="s">
        <v>319</v>
      </c>
      <c r="C176" s="77" t="str">
        <f>VLOOKUP(B176,IF(A176="COMPOSICAO",S!$A:$D,I!$A:$D),2,FALSE)</f>
        <v>ENCARGOS COMPLEMENTARES - SERVENTE</v>
      </c>
      <c r="D176" s="77"/>
      <c r="E176" s="77"/>
      <c r="F176" s="77"/>
      <c r="G176" s="16" t="str">
        <f>VLOOKUP(B176,IF(A176="COMPOSICAO",S!$A:$D,I!$A:$D),3,FALSE)</f>
        <v>H</v>
      </c>
      <c r="H176" s="30">
        <v>0.21299999999999999</v>
      </c>
      <c r="I176" s="17">
        <f>IF(A176="COMPOSICAO",VLOOKUP("TOTAL - "&amp;B176,COMPOSICAO_AUX_3!$A:$J,10,FALSE),VLOOKUP(B176,I!$A:$D,4,FALSE))</f>
        <v>2.9100000000000006</v>
      </c>
      <c r="J176" s="80">
        <f t="shared" si="6"/>
        <v>0.61</v>
      </c>
      <c r="K176" s="81"/>
    </row>
    <row r="177" spans="1:13" ht="15" customHeight="1" x14ac:dyDescent="0.25">
      <c r="A177" s="16" t="s">
        <v>302</v>
      </c>
      <c r="B177" s="16" t="s">
        <v>666</v>
      </c>
      <c r="C177" s="77" t="str">
        <f>VLOOKUP(B177,IF(A177="COMPOSICAO",S!$A:$D,I!$A:$D),2,FALSE)</f>
        <v>ENCARGOS COMPLEMENTARES - CARPINTEIRO</v>
      </c>
      <c r="D177" s="77"/>
      <c r="E177" s="77"/>
      <c r="F177" s="77"/>
      <c r="G177" s="16" t="str">
        <f>VLOOKUP(B177,IF(A177="COMPOSICAO",S!$A:$D,I!$A:$D),3,FALSE)</f>
        <v>H</v>
      </c>
      <c r="H177" s="30">
        <v>0.85299999999999998</v>
      </c>
      <c r="I177" s="17">
        <f>IF(A177="COMPOSICAO",VLOOKUP("TOTAL - "&amp;B177,COMPOSICAO_AUX_3!$A:$J,10,FALSE),VLOOKUP(B177,I!$A:$D,4,FALSE))</f>
        <v>2.8400000000000003</v>
      </c>
      <c r="J177" s="80">
        <f t="shared" si="6"/>
        <v>2.42</v>
      </c>
      <c r="K177" s="81"/>
    </row>
    <row r="178" spans="1:13" ht="15" customHeight="1" x14ac:dyDescent="0.25">
      <c r="A178" s="23" t="s">
        <v>744</v>
      </c>
      <c r="B178" s="24"/>
      <c r="C178" s="24"/>
      <c r="D178" s="24"/>
      <c r="E178" s="24"/>
      <c r="F178" s="24"/>
      <c r="G178" s="25"/>
      <c r="H178" s="26"/>
      <c r="I178" s="27"/>
      <c r="J178" s="80">
        <f>SUM(J165:K177)</f>
        <v>38.700000000000003</v>
      </c>
      <c r="K178" s="81"/>
    </row>
    <row r="179" spans="1:13" ht="15" customHeight="1" x14ac:dyDescent="0.25">
      <c r="A179" s="3"/>
      <c r="B179" s="3"/>
      <c r="C179" s="3"/>
      <c r="D179" s="3"/>
      <c r="E179" s="3"/>
      <c r="F179" s="3"/>
      <c r="G179" s="3"/>
      <c r="H179" s="3"/>
      <c r="I179" s="3"/>
      <c r="J179" s="3"/>
      <c r="K179" s="3"/>
    </row>
    <row r="180" spans="1:13" ht="15" customHeight="1" x14ac:dyDescent="0.25">
      <c r="A180" s="10" t="s">
        <v>295</v>
      </c>
      <c r="B180" s="10" t="s">
        <v>31</v>
      </c>
      <c r="C180" s="82" t="s">
        <v>7</v>
      </c>
      <c r="D180" s="83"/>
      <c r="E180" s="83"/>
      <c r="F180" s="83"/>
      <c r="G180" s="6" t="s">
        <v>32</v>
      </c>
      <c r="H180" s="6" t="s">
        <v>296</v>
      </c>
      <c r="I180" s="6" t="s">
        <v>297</v>
      </c>
      <c r="J180" s="57" t="s">
        <v>9</v>
      </c>
      <c r="K180" s="58"/>
    </row>
    <row r="181" spans="1:13" ht="15" customHeight="1" x14ac:dyDescent="0.25">
      <c r="A181" s="6" t="s">
        <v>11</v>
      </c>
      <c r="B181" s="6" t="s">
        <v>467</v>
      </c>
      <c r="C181" s="91" t="str">
        <f>VLOOKUP(B181,S!$A:$D,2,FALSE)</f>
        <v>ENCARGOS COMPLEMENTARES - ELETRICISTA</v>
      </c>
      <c r="D181" s="91"/>
      <c r="E181" s="91"/>
      <c r="F181" s="92"/>
      <c r="G181" s="6" t="str">
        <f>VLOOKUP(B181,S!$A:$D,3,FALSE)</f>
        <v>H</v>
      </c>
      <c r="H181" s="21"/>
      <c r="I181" s="21">
        <f>J200</f>
        <v>2.7900000000000005</v>
      </c>
      <c r="J181" s="76"/>
      <c r="K181" s="72"/>
      <c r="L181" s="21">
        <f>VLOOKUP(B181,S!$A:$D,4,FALSE)</f>
        <v>2.85</v>
      </c>
      <c r="M181" s="6" t="str">
        <f>IF(ROUND((L181-I181),2)=0,"OK, confere com a tabela.",IF(ROUND((L181-I181),2)&lt;0,"ACIMA ("&amp;TEXT(ROUND(I181*100/L181,4),"0,0000")&amp;" %) da tabela.","ABAIXO ("&amp;TEXT(ROUND(I181*100/L181,4),"0,0000")&amp;" %) da tabela."))</f>
        <v>ABAIXO (97,8947 %) da tabela.</v>
      </c>
    </row>
    <row r="182" spans="1:13" ht="15" customHeight="1" x14ac:dyDescent="0.25">
      <c r="A182" s="16" t="s">
        <v>306</v>
      </c>
      <c r="B182" s="16" t="s">
        <v>519</v>
      </c>
      <c r="C182" s="77" t="str">
        <f>VLOOKUP(B182,IF(A182="COMPOSICAO",S!$A:$D,I!$A:$D),2,FALSE)</f>
        <v>ALMOÇO (PARTICIPAÇÃO DO EMPREGADOR)</v>
      </c>
      <c r="D182" s="77"/>
      <c r="E182" s="77"/>
      <c r="F182" s="77"/>
      <c r="G182" s="16" t="str">
        <f>VLOOKUP(B182,IF(A182="COMPOSICAO",S!$A:$D,I!$A:$D),3,FALSE)</f>
        <v>UN</v>
      </c>
      <c r="H182" s="29">
        <v>0.1018</v>
      </c>
      <c r="I182" s="17">
        <f>IF(A182="COMPOSICAO",VLOOKUP("TOTAL - "&amp;B182,COMPOSICAO_AUX_3!$A:$J,10,FALSE),VLOOKUP(B182,I!$A:$D,4,FALSE))</f>
        <v>10</v>
      </c>
      <c r="J182" s="80">
        <f t="shared" ref="J182:J199" si="7">TRUNC(H182*I182,2)</f>
        <v>1.01</v>
      </c>
      <c r="K182" s="81"/>
    </row>
    <row r="183" spans="1:13" ht="15" customHeight="1" x14ac:dyDescent="0.25">
      <c r="A183" s="16" t="s">
        <v>306</v>
      </c>
      <c r="B183" s="16" t="s">
        <v>520</v>
      </c>
      <c r="C183" s="77" t="str">
        <f>VLOOKUP(B183,IF(A183="COMPOSICAO",S!$A:$D,I!$A:$D),2,FALSE)</f>
        <v>FARDAMENTO</v>
      </c>
      <c r="D183" s="77"/>
      <c r="E183" s="77"/>
      <c r="F183" s="77"/>
      <c r="G183" s="16" t="str">
        <f>VLOOKUP(B183,IF(A183="COMPOSICAO",S!$A:$D,I!$A:$D),3,FALSE)</f>
        <v>UN</v>
      </c>
      <c r="H183" s="29">
        <v>1.5E-3</v>
      </c>
      <c r="I183" s="17">
        <f>IF(A183="COMPOSICAO",VLOOKUP("TOTAL - "&amp;B183,COMPOSICAO_AUX_3!$A:$J,10,FALSE),VLOOKUP(B183,I!$A:$D,4,FALSE))</f>
        <v>78.53</v>
      </c>
      <c r="J183" s="80">
        <f t="shared" si="7"/>
        <v>0.11</v>
      </c>
      <c r="K183" s="81"/>
    </row>
    <row r="184" spans="1:13" ht="15" customHeight="1" x14ac:dyDescent="0.25">
      <c r="A184" s="16" t="s">
        <v>306</v>
      </c>
      <c r="B184" s="16" t="s">
        <v>521</v>
      </c>
      <c r="C184" s="77" t="str">
        <f>VLOOKUP(B184,IF(A184="COMPOSICAO",S!$A:$D,I!$A:$D),2,FALSE)</f>
        <v>ÓCULOS BRANCO PROTEÇÃO</v>
      </c>
      <c r="D184" s="77"/>
      <c r="E184" s="77"/>
      <c r="F184" s="77"/>
      <c r="G184" s="16" t="str">
        <f>VLOOKUP(B184,IF(A184="COMPOSICAO",S!$A:$D,I!$A:$D),3,FALSE)</f>
        <v>PR</v>
      </c>
      <c r="H184" s="29">
        <v>8.0000000000000004E-4</v>
      </c>
      <c r="I184" s="17">
        <f>IF(A184="COMPOSICAO",VLOOKUP("TOTAL - "&amp;B184,COMPOSICAO_AUX_3!$A:$J,10,FALSE),VLOOKUP(B184,I!$A:$D,4,FALSE))</f>
        <v>5.9</v>
      </c>
      <c r="J184" s="80">
        <f t="shared" si="7"/>
        <v>0</v>
      </c>
      <c r="K184" s="81"/>
    </row>
    <row r="185" spans="1:13" ht="15" customHeight="1" x14ac:dyDescent="0.25">
      <c r="A185" s="16" t="s">
        <v>306</v>
      </c>
      <c r="B185" s="16" t="s">
        <v>522</v>
      </c>
      <c r="C185" s="77" t="str">
        <f>VLOOKUP(B185,IF(A185="COMPOSICAO",S!$A:$D,I!$A:$D),2,FALSE)</f>
        <v>VALE TRANSPORTE</v>
      </c>
      <c r="D185" s="77"/>
      <c r="E185" s="77"/>
      <c r="F185" s="77"/>
      <c r="G185" s="16" t="str">
        <f>VLOOKUP(B185,IF(A185="COMPOSICAO",S!$A:$D,I!$A:$D),3,FALSE)</f>
        <v>UN</v>
      </c>
      <c r="H185" s="29">
        <v>6.54E-2</v>
      </c>
      <c r="I185" s="17">
        <f>IF(A185="COMPOSICAO",VLOOKUP("TOTAL - "&amp;B185,COMPOSICAO_AUX_3!$A:$J,10,FALSE),VLOOKUP(B185,I!$A:$D,4,FALSE))</f>
        <v>4</v>
      </c>
      <c r="J185" s="80">
        <f t="shared" si="7"/>
        <v>0.26</v>
      </c>
      <c r="K185" s="81"/>
    </row>
    <row r="186" spans="1:13" ht="15" customHeight="1" x14ac:dyDescent="0.25">
      <c r="A186" s="16" t="s">
        <v>306</v>
      </c>
      <c r="B186" s="16" t="s">
        <v>525</v>
      </c>
      <c r="C186" s="77" t="str">
        <f>VLOOKUP(B186,IF(A186="COMPOSICAO",S!$A:$D,I!$A:$D),2,FALSE)</f>
        <v>SEGURO DE VIDA E ACIDENTE EM GRUPO</v>
      </c>
      <c r="D186" s="77"/>
      <c r="E186" s="77"/>
      <c r="F186" s="77"/>
      <c r="G186" s="16" t="str">
        <f>VLOOKUP(B186,IF(A186="COMPOSICAO",S!$A:$D,I!$A:$D),3,FALSE)</f>
        <v>UN</v>
      </c>
      <c r="H186" s="29">
        <v>4.4999999999999997E-3</v>
      </c>
      <c r="I186" s="17">
        <f>IF(A186="COMPOSICAO",VLOOKUP("TOTAL - "&amp;B186,COMPOSICAO_AUX_3!$A:$J,10,FALSE),VLOOKUP(B186,I!$A:$D,4,FALSE))</f>
        <v>12.54</v>
      </c>
      <c r="J186" s="80">
        <f t="shared" si="7"/>
        <v>0.05</v>
      </c>
      <c r="K186" s="81"/>
    </row>
    <row r="187" spans="1:13" ht="15" customHeight="1" x14ac:dyDescent="0.25">
      <c r="A187" s="16" t="s">
        <v>306</v>
      </c>
      <c r="B187" s="16" t="s">
        <v>526</v>
      </c>
      <c r="C187" s="77" t="str">
        <f>VLOOKUP(B187,IF(A187="COMPOSICAO",S!$A:$D,I!$A:$D),2,FALSE)</f>
        <v>CESTA BÁSICA</v>
      </c>
      <c r="D187" s="77"/>
      <c r="E187" s="77"/>
      <c r="F187" s="77"/>
      <c r="G187" s="16" t="str">
        <f>VLOOKUP(B187,IF(A187="COMPOSICAO",S!$A:$D,I!$A:$D),3,FALSE)</f>
        <v>UN</v>
      </c>
      <c r="H187" s="29">
        <v>4.4999999999999997E-3</v>
      </c>
      <c r="I187" s="17">
        <f>IF(A187="COMPOSICAO",VLOOKUP("TOTAL - "&amp;B187,COMPOSICAO_AUX_3!$A:$J,10,FALSE),VLOOKUP(B187,I!$A:$D,4,FALSE))</f>
        <v>140</v>
      </c>
      <c r="J187" s="80">
        <f t="shared" si="7"/>
        <v>0.63</v>
      </c>
      <c r="K187" s="81"/>
    </row>
    <row r="188" spans="1:13" ht="15" customHeight="1" x14ac:dyDescent="0.25">
      <c r="A188" s="16" t="s">
        <v>306</v>
      </c>
      <c r="B188" s="16" t="s">
        <v>527</v>
      </c>
      <c r="C188" s="77" t="str">
        <f>VLOOKUP(B188,IF(A188="COMPOSICAO",S!$A:$D,I!$A:$D),2,FALSE)</f>
        <v>EXAMES ADMISSIONAIS/DEMISSIONAIS (CHECKUP)</v>
      </c>
      <c r="D188" s="77"/>
      <c r="E188" s="77"/>
      <c r="F188" s="77"/>
      <c r="G188" s="16" t="str">
        <f>VLOOKUP(B188,IF(A188="COMPOSICAO",S!$A:$D,I!$A:$D),3,FALSE)</f>
        <v>CJ</v>
      </c>
      <c r="H188" s="29">
        <v>4.0000000000000002E-4</v>
      </c>
      <c r="I188" s="17">
        <f>IF(A188="COMPOSICAO",VLOOKUP("TOTAL - "&amp;B188,COMPOSICAO_AUX_3!$A:$J,10,FALSE),VLOOKUP(B188,I!$A:$D,4,FALSE))</f>
        <v>300</v>
      </c>
      <c r="J188" s="80">
        <f t="shared" si="7"/>
        <v>0.12</v>
      </c>
      <c r="K188" s="81"/>
    </row>
    <row r="189" spans="1:13" ht="15" customHeight="1" x14ac:dyDescent="0.25">
      <c r="A189" s="16" t="s">
        <v>306</v>
      </c>
      <c r="B189" s="16" t="s">
        <v>713</v>
      </c>
      <c r="C189" s="77" t="str">
        <f>VLOOKUP(B189,IF(A189="COMPOSICAO",S!$A:$D,I!$A:$D),2,FALSE)</f>
        <v>CHAVE DE FENDA CHATA 30 CM</v>
      </c>
      <c r="D189" s="77"/>
      <c r="E189" s="77"/>
      <c r="F189" s="77"/>
      <c r="G189" s="16" t="str">
        <f>VLOOKUP(B189,IF(A189="COMPOSICAO",S!$A:$D,I!$A:$D),3,FALSE)</f>
        <v>UN</v>
      </c>
      <c r="H189" s="29">
        <v>2.0000000000000001E-4</v>
      </c>
      <c r="I189" s="17">
        <f>IF(A189="COMPOSICAO",VLOOKUP("TOTAL - "&amp;B189,COMPOSICAO_AUX_3!$A:$J,10,FALSE),VLOOKUP(B189,I!$A:$D,4,FALSE))</f>
        <v>22.89</v>
      </c>
      <c r="J189" s="80">
        <f t="shared" si="7"/>
        <v>0</v>
      </c>
      <c r="K189" s="81"/>
    </row>
    <row r="190" spans="1:13" ht="15" customHeight="1" x14ac:dyDescent="0.25">
      <c r="A190" s="16" t="s">
        <v>306</v>
      </c>
      <c r="B190" s="16" t="s">
        <v>528</v>
      </c>
      <c r="C190" s="77" t="str">
        <f>VLOOKUP(B190,IF(A190="COMPOSICAO",S!$A:$D,I!$A:$D),2,FALSE)</f>
        <v>PROTETOR AURICULAR</v>
      </c>
      <c r="D190" s="77"/>
      <c r="E190" s="77"/>
      <c r="F190" s="77"/>
      <c r="G190" s="16" t="str">
        <f>VLOOKUP(B190,IF(A190="COMPOSICAO",S!$A:$D,I!$A:$D),3,FALSE)</f>
        <v>UN</v>
      </c>
      <c r="H190" s="29">
        <v>4.4999999999999997E-3</v>
      </c>
      <c r="I190" s="17">
        <f>IF(A190="COMPOSICAO",VLOOKUP("TOTAL - "&amp;B190,COMPOSICAO_AUX_3!$A:$J,10,FALSE),VLOOKUP(B190,I!$A:$D,4,FALSE))</f>
        <v>4.9000000000000004</v>
      </c>
      <c r="J190" s="80">
        <f t="shared" si="7"/>
        <v>0.02</v>
      </c>
      <c r="K190" s="81"/>
    </row>
    <row r="191" spans="1:13" ht="15" customHeight="1" x14ac:dyDescent="0.25">
      <c r="A191" s="16" t="s">
        <v>306</v>
      </c>
      <c r="B191" s="16" t="s">
        <v>529</v>
      </c>
      <c r="C191" s="77" t="str">
        <f>VLOOKUP(B191,IF(A191="COMPOSICAO",S!$A:$D,I!$A:$D),2,FALSE)</f>
        <v>PROTETOR SOLAR FPS 30 COM 120ML</v>
      </c>
      <c r="D191" s="77"/>
      <c r="E191" s="77"/>
      <c r="F191" s="77"/>
      <c r="G191" s="16" t="str">
        <f>VLOOKUP(B191,IF(A191="COMPOSICAO",S!$A:$D,I!$A:$D),3,FALSE)</f>
        <v>UN</v>
      </c>
      <c r="H191" s="29">
        <v>1.8E-3</v>
      </c>
      <c r="I191" s="17">
        <f>IF(A191="COMPOSICAO",VLOOKUP("TOTAL - "&amp;B191,COMPOSICAO_AUX_3!$A:$J,10,FALSE),VLOOKUP(B191,I!$A:$D,4,FALSE))</f>
        <v>35.9</v>
      </c>
      <c r="J191" s="80">
        <f t="shared" si="7"/>
        <v>0.06</v>
      </c>
      <c r="K191" s="81"/>
    </row>
    <row r="192" spans="1:13" ht="30" customHeight="1" x14ac:dyDescent="0.25">
      <c r="A192" s="16" t="s">
        <v>306</v>
      </c>
      <c r="B192" s="16" t="s">
        <v>530</v>
      </c>
      <c r="C192" s="77" t="str">
        <f>VLOOKUP(B192,IF(A192="COMPOSICAO",S!$A:$D,I!$A:$D),2,FALSE)</f>
        <v>REFEIÇÃO - CAFÉ DA MANHÃ ( CAFÉ COM LEITE E DOIS PÃES COM MANTEIGA)</v>
      </c>
      <c r="D192" s="77"/>
      <c r="E192" s="77"/>
      <c r="F192" s="77"/>
      <c r="G192" s="16" t="str">
        <f>VLOOKUP(B192,IF(A192="COMPOSICAO",S!$A:$D,I!$A:$D),3,FALSE)</f>
        <v>UN</v>
      </c>
      <c r="H192" s="29">
        <v>0.1018</v>
      </c>
      <c r="I192" s="17">
        <f>IF(A192="COMPOSICAO",VLOOKUP("TOTAL - "&amp;B192,COMPOSICAO_AUX_3!$A:$J,10,FALSE),VLOOKUP(B192,I!$A:$D,4,FALSE))</f>
        <v>4.5</v>
      </c>
      <c r="J192" s="80">
        <f t="shared" si="7"/>
        <v>0.45</v>
      </c>
      <c r="K192" s="81"/>
    </row>
    <row r="193" spans="1:13" ht="15" customHeight="1" x14ac:dyDescent="0.25">
      <c r="A193" s="16" t="s">
        <v>306</v>
      </c>
      <c r="B193" s="16" t="s">
        <v>714</v>
      </c>
      <c r="C193" s="77" t="str">
        <f>VLOOKUP(B193,IF(A193="COMPOSICAO",S!$A:$D,I!$A:$D),2,FALSE)</f>
        <v>ALICATE COM ISOLAMENTO</v>
      </c>
      <c r="D193" s="77"/>
      <c r="E193" s="77"/>
      <c r="F193" s="77"/>
      <c r="G193" s="16" t="str">
        <f>VLOOKUP(B193,IF(A193="COMPOSICAO",S!$A:$D,I!$A:$D),3,FALSE)</f>
        <v>UN</v>
      </c>
      <c r="H193" s="29">
        <v>2.0000000000000001E-4</v>
      </c>
      <c r="I193" s="17">
        <f>IF(A193="COMPOSICAO",VLOOKUP("TOTAL - "&amp;B193,COMPOSICAO_AUX_3!$A:$J,10,FALSE),VLOOKUP(B193,I!$A:$D,4,FALSE))</f>
        <v>43.9</v>
      </c>
      <c r="J193" s="80">
        <f t="shared" si="7"/>
        <v>0</v>
      </c>
      <c r="K193" s="81"/>
    </row>
    <row r="194" spans="1:13" ht="15" customHeight="1" x14ac:dyDescent="0.25">
      <c r="A194" s="16" t="s">
        <v>306</v>
      </c>
      <c r="B194" s="16" t="s">
        <v>715</v>
      </c>
      <c r="C194" s="77" t="str">
        <f>VLOOKUP(B194,IF(A194="COMPOSICAO",S!$A:$D,I!$A:$D),2,FALSE)</f>
        <v>ALICATE VOLT-AMPERIMETRO</v>
      </c>
      <c r="D194" s="77"/>
      <c r="E194" s="77"/>
      <c r="F194" s="77"/>
      <c r="G194" s="16" t="str">
        <f>VLOOKUP(B194,IF(A194="COMPOSICAO",S!$A:$D,I!$A:$D),3,FALSE)</f>
        <v>UN</v>
      </c>
      <c r="H194" s="29">
        <v>2.0000000000000001E-4</v>
      </c>
      <c r="I194" s="17">
        <f>IF(A194="COMPOSICAO",VLOOKUP("TOTAL - "&amp;B194,COMPOSICAO_AUX_3!$A:$J,10,FALSE),VLOOKUP(B194,I!$A:$D,4,FALSE))</f>
        <v>135.30000000000001</v>
      </c>
      <c r="J194" s="80">
        <f t="shared" si="7"/>
        <v>0.02</v>
      </c>
      <c r="K194" s="81"/>
    </row>
    <row r="195" spans="1:13" ht="15" customHeight="1" x14ac:dyDescent="0.25">
      <c r="A195" s="16" t="s">
        <v>306</v>
      </c>
      <c r="B195" s="16" t="s">
        <v>716</v>
      </c>
      <c r="C195" s="77" t="str">
        <f>VLOOKUP(B195,IF(A195="COMPOSICAO",S!$A:$D,I!$A:$D),2,FALSE)</f>
        <v>CHAVE INGLESA 12"</v>
      </c>
      <c r="D195" s="77"/>
      <c r="E195" s="77"/>
      <c r="F195" s="77"/>
      <c r="G195" s="16" t="str">
        <f>VLOOKUP(B195,IF(A195="COMPOSICAO",S!$A:$D,I!$A:$D),3,FALSE)</f>
        <v>UN</v>
      </c>
      <c r="H195" s="29">
        <v>1E-4</v>
      </c>
      <c r="I195" s="17">
        <f>IF(A195="COMPOSICAO",VLOOKUP("TOTAL - "&amp;B195,COMPOSICAO_AUX_3!$A:$J,10,FALSE),VLOOKUP(B195,I!$A:$D,4,FALSE))</f>
        <v>47</v>
      </c>
      <c r="J195" s="80">
        <f t="shared" si="7"/>
        <v>0</v>
      </c>
      <c r="K195" s="81"/>
    </row>
    <row r="196" spans="1:13" ht="30" customHeight="1" x14ac:dyDescent="0.25">
      <c r="A196" s="16" t="s">
        <v>306</v>
      </c>
      <c r="B196" s="20">
        <v>12892</v>
      </c>
      <c r="C196" s="77" t="str">
        <f>VLOOKUP(B196,IF(A196="COMPOSICAO",S!$A:$D,I!$A:$D),2,FALSE)</f>
        <v>LUVA RASPA DE COURO, CANO CURTO (PUNHO *7* CM)</v>
      </c>
      <c r="D196" s="77"/>
      <c r="E196" s="77"/>
      <c r="F196" s="77"/>
      <c r="G196" s="16" t="str">
        <f>VLOOKUP(B196,IF(A196="COMPOSICAO",S!$A:$D,I!$A:$D),3,FALSE)</f>
        <v>PAR</v>
      </c>
      <c r="H196" s="29">
        <v>2.3E-3</v>
      </c>
      <c r="I196" s="17">
        <f>IF(A196="COMPOSICAO",VLOOKUP("TOTAL - "&amp;B196,COMPOSICAO_AUX_3!$A:$J,10,FALSE),VLOOKUP(B196,I!$A:$D,4,FALSE))</f>
        <v>12.91</v>
      </c>
      <c r="J196" s="80">
        <f t="shared" si="7"/>
        <v>0.02</v>
      </c>
      <c r="K196" s="81"/>
    </row>
    <row r="197" spans="1:13" ht="30" customHeight="1" x14ac:dyDescent="0.25">
      <c r="A197" s="16" t="s">
        <v>306</v>
      </c>
      <c r="B197" s="20">
        <v>12893</v>
      </c>
      <c r="C197" s="77" t="str">
        <f>VLOOKUP(B197,IF(A197="COMPOSICAO",S!$A:$D,I!$A:$D),2,FALSE)</f>
        <v>BOTA DE SEGURANCA COM BIQUEIRA DE ACO E COLARINHO ACOLCHOADO</v>
      </c>
      <c r="D197" s="77"/>
      <c r="E197" s="77"/>
      <c r="F197" s="77"/>
      <c r="G197" s="16" t="str">
        <f>VLOOKUP(B197,IF(A197="COMPOSICAO",S!$A:$D,I!$A:$D),3,FALSE)</f>
        <v>PAR</v>
      </c>
      <c r="H197" s="29">
        <v>6.9999999999999999E-4</v>
      </c>
      <c r="I197" s="17">
        <f>IF(A197="COMPOSICAO",VLOOKUP("TOTAL - "&amp;B197,COMPOSICAO_AUX_3!$A:$J,10,FALSE),VLOOKUP(B197,I!$A:$D,4,FALSE))</f>
        <v>68.88</v>
      </c>
      <c r="J197" s="80">
        <f t="shared" si="7"/>
        <v>0.04</v>
      </c>
      <c r="K197" s="81"/>
    </row>
    <row r="198" spans="1:13" ht="30" customHeight="1" x14ac:dyDescent="0.25">
      <c r="A198" s="16" t="s">
        <v>306</v>
      </c>
      <c r="B198" s="20">
        <v>12894</v>
      </c>
      <c r="C198" s="77" t="str">
        <f>VLOOKUP(B198,IF(A198="COMPOSICAO",S!$A:$D,I!$A:$D),2,FALSE)</f>
        <v>CAPA PARA CHUVA EM PVC COM FORRO DE POLIESTER, COM CAPUZ (AMARELA OU AZUL)</v>
      </c>
      <c r="D198" s="77"/>
      <c r="E198" s="77"/>
      <c r="F198" s="77"/>
      <c r="G198" s="16" t="str">
        <f>VLOOKUP(B198,IF(A198="COMPOSICAO",S!$A:$D,I!$A:$D),3,FALSE)</f>
        <v>UN</v>
      </c>
      <c r="H198" s="29">
        <v>2.0000000000000001E-4</v>
      </c>
      <c r="I198" s="17">
        <f>IF(A198="COMPOSICAO",VLOOKUP("TOTAL - "&amp;B198,COMPOSICAO_AUX_3!$A:$J,10,FALSE),VLOOKUP(B198,I!$A:$D,4,FALSE))</f>
        <v>18.649999999999999</v>
      </c>
      <c r="J198" s="80">
        <f t="shared" si="7"/>
        <v>0</v>
      </c>
      <c r="K198" s="81"/>
    </row>
    <row r="199" spans="1:13" ht="30" customHeight="1" x14ac:dyDescent="0.25">
      <c r="A199" s="16" t="s">
        <v>306</v>
      </c>
      <c r="B199" s="20">
        <v>12895</v>
      </c>
      <c r="C199" s="77" t="str">
        <f>VLOOKUP(B199,IF(A199="COMPOSICAO",S!$A:$D,I!$A:$D),2,FALSE)</f>
        <v>CAPACETE DE SEGURANCA ABA FRONTAL COM SUSPENSAO DE POLIETILENO, SEM JUGULAR (CLASSE B)</v>
      </c>
      <c r="D199" s="77"/>
      <c r="E199" s="77"/>
      <c r="F199" s="77"/>
      <c r="G199" s="16" t="str">
        <f>VLOOKUP(B199,IF(A199="COMPOSICAO",S!$A:$D,I!$A:$D),3,FALSE)</f>
        <v>UN</v>
      </c>
      <c r="H199" s="29">
        <v>5.9999999999999995E-4</v>
      </c>
      <c r="I199" s="17">
        <f>IF(A199="COMPOSICAO",VLOOKUP("TOTAL - "&amp;B199,COMPOSICAO_AUX_3!$A:$J,10,FALSE),VLOOKUP(B199,I!$A:$D,4,FALSE))</f>
        <v>14.35</v>
      </c>
      <c r="J199" s="80">
        <f t="shared" si="7"/>
        <v>0</v>
      </c>
      <c r="K199" s="81"/>
    </row>
    <row r="200" spans="1:13" ht="15" customHeight="1" x14ac:dyDescent="0.25">
      <c r="A200" s="23" t="s">
        <v>717</v>
      </c>
      <c r="B200" s="24"/>
      <c r="C200" s="24"/>
      <c r="D200" s="24"/>
      <c r="E200" s="24"/>
      <c r="F200" s="24"/>
      <c r="G200" s="25"/>
      <c r="H200" s="26"/>
      <c r="I200" s="27"/>
      <c r="J200" s="80">
        <f>SUM(J181:K199)</f>
        <v>2.7900000000000005</v>
      </c>
      <c r="K200" s="81"/>
    </row>
    <row r="201" spans="1:13" ht="15" customHeight="1" x14ac:dyDescent="0.25">
      <c r="A201" s="3"/>
      <c r="B201" s="3"/>
      <c r="C201" s="3"/>
      <c r="D201" s="3"/>
      <c r="E201" s="3"/>
      <c r="F201" s="3"/>
      <c r="G201" s="3"/>
      <c r="H201" s="3"/>
      <c r="I201" s="3"/>
      <c r="J201" s="3"/>
      <c r="K201" s="3"/>
    </row>
    <row r="202" spans="1:13" ht="15" customHeight="1" x14ac:dyDescent="0.25">
      <c r="A202" s="10" t="s">
        <v>295</v>
      </c>
      <c r="B202" s="10" t="s">
        <v>31</v>
      </c>
      <c r="C202" s="82" t="s">
        <v>7</v>
      </c>
      <c r="D202" s="83"/>
      <c r="E202" s="83"/>
      <c r="F202" s="83"/>
      <c r="G202" s="6" t="s">
        <v>32</v>
      </c>
      <c r="H202" s="6" t="s">
        <v>296</v>
      </c>
      <c r="I202" s="6" t="s">
        <v>297</v>
      </c>
      <c r="J202" s="57" t="s">
        <v>9</v>
      </c>
      <c r="K202" s="58"/>
    </row>
    <row r="203" spans="1:13" ht="30" customHeight="1" x14ac:dyDescent="0.25">
      <c r="A203" s="6" t="s">
        <v>11</v>
      </c>
      <c r="B203" s="6" t="s">
        <v>556</v>
      </c>
      <c r="C203" s="91" t="str">
        <f>VLOOKUP(B203,S!$A:$D,2,FALSE)</f>
        <v>FORMA PLANA PARA FUNDAÇÕES, EM COMPENSADO RESINADO 12MM, 03 USOS</v>
      </c>
      <c r="D203" s="91"/>
      <c r="E203" s="91"/>
      <c r="F203" s="92"/>
      <c r="G203" s="6" t="str">
        <f>VLOOKUP(B203,S!$A:$D,3,FALSE)</f>
        <v>M2</v>
      </c>
      <c r="H203" s="21"/>
      <c r="I203" s="21">
        <f>J214</f>
        <v>78.72999999999999</v>
      </c>
      <c r="J203" s="76"/>
      <c r="K203" s="72"/>
      <c r="L203" s="21">
        <f>VLOOKUP(B203,S!$A:$D,4,FALSE)</f>
        <v>76.64</v>
      </c>
      <c r="M203" s="6" t="str">
        <f>IF(ROUND((L203-I203),2)=0,"OK, confere com a tabela.",IF(ROUND((L203-I203),2)&lt;0,"ACIMA ("&amp;TEXT(ROUND(I203*100/L203,4),"0,0000")&amp;" %) da tabela.","ABAIXO ("&amp;TEXT(ROUND(I203*100/L203,4),"0,0000")&amp;" %) da tabela."))</f>
        <v>ACIMA (102,7270 %) da tabela.</v>
      </c>
    </row>
    <row r="204" spans="1:13" ht="30" customHeight="1" x14ac:dyDescent="0.25">
      <c r="A204" s="16" t="s">
        <v>306</v>
      </c>
      <c r="B204" s="16" t="s">
        <v>664</v>
      </c>
      <c r="C204" s="77" t="str">
        <f>VLOOKUP(B204,IF(A204="COMPOSICAO",S!$A:$D,I!$A:$D),2,FALSE)</f>
        <v>COMPENSADO RESINADO 12MM - MADEIRIT OU SIMILAR</v>
      </c>
      <c r="D204" s="77"/>
      <c r="E204" s="77"/>
      <c r="F204" s="77"/>
      <c r="G204" s="16" t="str">
        <f>VLOOKUP(B204,IF(A204="COMPOSICAO",S!$A:$D,I!$A:$D),3,FALSE)</f>
        <v>M2</v>
      </c>
      <c r="H204" s="17">
        <v>0.37</v>
      </c>
      <c r="I204" s="17">
        <f>IF(A204="COMPOSICAO",VLOOKUP("TOTAL - "&amp;B204,COMPOSICAO_AUX_3!$A:$J,10,FALSE),VLOOKUP(B204,I!$A:$D,4,FALSE))</f>
        <v>46.9</v>
      </c>
      <c r="J204" s="80">
        <f t="shared" ref="J204:J213" si="8">TRUNC(H204*I204,2)</f>
        <v>17.350000000000001</v>
      </c>
      <c r="K204" s="81"/>
    </row>
    <row r="205" spans="1:13" ht="30" customHeight="1" x14ac:dyDescent="0.25">
      <c r="A205" s="16" t="s">
        <v>306</v>
      </c>
      <c r="B205" s="16" t="s">
        <v>665</v>
      </c>
      <c r="C205" s="77" t="str">
        <f>VLOOKUP(B205,IF(A205="COMPOSICAO",S!$A:$D,I!$A:$D),2,FALSE)</f>
        <v>MADEIRA MISTA SERRADA (BARROTE) 6 X 6CM - 0,0036 M3/M (ANGELIM, LOURO)</v>
      </c>
      <c r="D205" s="77"/>
      <c r="E205" s="77"/>
      <c r="F205" s="77"/>
      <c r="G205" s="16" t="str">
        <f>VLOOKUP(B205,IF(A205="COMPOSICAO",S!$A:$D,I!$A:$D),3,FALSE)</f>
        <v>M</v>
      </c>
      <c r="H205" s="17">
        <v>0.33</v>
      </c>
      <c r="I205" s="17">
        <f>IF(A205="COMPOSICAO",VLOOKUP("TOTAL - "&amp;B205,COMPOSICAO_AUX_3!$A:$J,10,FALSE),VLOOKUP(B205,I!$A:$D,4,FALSE))</f>
        <v>10.39</v>
      </c>
      <c r="J205" s="80">
        <f t="shared" si="8"/>
        <v>3.42</v>
      </c>
      <c r="K205" s="81"/>
    </row>
    <row r="206" spans="1:13" ht="15" customHeight="1" x14ac:dyDescent="0.25">
      <c r="A206" s="16" t="s">
        <v>306</v>
      </c>
      <c r="B206" s="20">
        <v>1213</v>
      </c>
      <c r="C206" s="77" t="str">
        <f>VLOOKUP(B206,IF(A206="COMPOSICAO",S!$A:$D,I!$A:$D),2,FALSE)</f>
        <v>CARPINTEIRO DE FORMAS</v>
      </c>
      <c r="D206" s="77"/>
      <c r="E206" s="77"/>
      <c r="F206" s="77"/>
      <c r="G206" s="16" t="str">
        <f>VLOOKUP(B206,IF(A206="COMPOSICAO",S!$A:$D,I!$A:$D),3,FALSE)</f>
        <v>H</v>
      </c>
      <c r="H206" s="17">
        <v>1.4</v>
      </c>
      <c r="I206" s="17">
        <f>IF(A206="COMPOSICAO",VLOOKUP("TOTAL - "&amp;B206,COMPOSICAO_AUX_3!$A:$J,10,FALSE),VLOOKUP(B206,I!$A:$D,4,FALSE))</f>
        <v>14.93</v>
      </c>
      <c r="J206" s="80">
        <f t="shared" si="8"/>
        <v>20.9</v>
      </c>
      <c r="K206" s="81"/>
    </row>
    <row r="207" spans="1:13" ht="30" customHeight="1" x14ac:dyDescent="0.25">
      <c r="A207" s="16" t="s">
        <v>306</v>
      </c>
      <c r="B207" s="20">
        <v>2692</v>
      </c>
      <c r="C207" s="77" t="str">
        <f>VLOOKUP(B207,IF(A207="COMPOSICAO",S!$A:$D,I!$A:$D),2,FALSE)</f>
        <v>DESMOLDANTE PROTETOR PARA FORMAS DE MADEIRA, DE BASE OLEOSA EMULSIONADA EM AGUA</v>
      </c>
      <c r="D207" s="77"/>
      <c r="E207" s="77"/>
      <c r="F207" s="77"/>
      <c r="G207" s="16" t="str">
        <f>VLOOKUP(B207,IF(A207="COMPOSICAO",S!$A:$D,I!$A:$D),3,FALSE)</f>
        <v>L</v>
      </c>
      <c r="H207" s="30">
        <v>1.4999999999999999E-2</v>
      </c>
      <c r="I207" s="17">
        <f>IF(A207="COMPOSICAO",VLOOKUP("TOTAL - "&amp;B207,COMPOSICAO_AUX_3!$A:$J,10,FALSE),VLOOKUP(B207,I!$A:$D,4,FALSE))</f>
        <v>6.94</v>
      </c>
      <c r="J207" s="80">
        <f t="shared" si="8"/>
        <v>0.1</v>
      </c>
      <c r="K207" s="81"/>
    </row>
    <row r="208" spans="1:13" ht="30" customHeight="1" x14ac:dyDescent="0.25">
      <c r="A208" s="16" t="s">
        <v>306</v>
      </c>
      <c r="B208" s="20">
        <v>4509</v>
      </c>
      <c r="C208" s="77" t="str">
        <f>VLOOKUP(B208,IF(A208="COMPOSICAO",S!$A:$D,I!$A:$D),2,FALSE)</f>
        <v>SARRAFO *2,5 X 10* CM EM PINUS, MISTA OU EQUIVALENTE DA REGIAO - BRUTA</v>
      </c>
      <c r="D208" s="77"/>
      <c r="E208" s="77"/>
      <c r="F208" s="77"/>
      <c r="G208" s="16" t="str">
        <f>VLOOKUP(B208,IF(A208="COMPOSICAO",S!$A:$D,I!$A:$D),3,FALSE)</f>
        <v>M</v>
      </c>
      <c r="H208" s="17">
        <v>1.33</v>
      </c>
      <c r="I208" s="17">
        <f>IF(A208="COMPOSICAO",VLOOKUP("TOTAL - "&amp;B208,COMPOSICAO_AUX_3!$A:$J,10,FALSE),VLOOKUP(B208,I!$A:$D,4,FALSE))</f>
        <v>3.38</v>
      </c>
      <c r="J208" s="80">
        <f t="shared" si="8"/>
        <v>4.49</v>
      </c>
      <c r="K208" s="81"/>
    </row>
    <row r="209" spans="1:13" ht="30" customHeight="1" x14ac:dyDescent="0.25">
      <c r="A209" s="16" t="s">
        <v>306</v>
      </c>
      <c r="B209" s="20">
        <v>5067</v>
      </c>
      <c r="C209" s="77" t="str">
        <f>VLOOKUP(B209,IF(A209="COMPOSICAO",S!$A:$D,I!$A:$D),2,FALSE)</f>
        <v>PREGO DE ACO POLIDO COM CABECA 16 X 24 (2 1/4 X 12)</v>
      </c>
      <c r="D209" s="77"/>
      <c r="E209" s="77"/>
      <c r="F209" s="77"/>
      <c r="G209" s="16" t="str">
        <f>VLOOKUP(B209,IF(A209="COMPOSICAO",S!$A:$D,I!$A:$D),3,FALSE)</f>
        <v>KG</v>
      </c>
      <c r="H209" s="17">
        <v>0.3</v>
      </c>
      <c r="I209" s="17">
        <f>IF(A209="COMPOSICAO",VLOOKUP("TOTAL - "&amp;B209,COMPOSICAO_AUX_3!$A:$J,10,FALSE),VLOOKUP(B209,I!$A:$D,4,FALSE))</f>
        <v>20.6</v>
      </c>
      <c r="J209" s="80">
        <f t="shared" si="8"/>
        <v>6.18</v>
      </c>
      <c r="K209" s="81"/>
    </row>
    <row r="210" spans="1:13" ht="15" customHeight="1" x14ac:dyDescent="0.25">
      <c r="A210" s="16" t="s">
        <v>306</v>
      </c>
      <c r="B210" s="20">
        <v>6111</v>
      </c>
      <c r="C210" s="77" t="str">
        <f>VLOOKUP(B210,IF(A210="COMPOSICAO",S!$A:$D,I!$A:$D),2,FALSE)</f>
        <v>SERVENTE DE OBRAS</v>
      </c>
      <c r="D210" s="77"/>
      <c r="E210" s="77"/>
      <c r="F210" s="77"/>
      <c r="G210" s="16" t="str">
        <f>VLOOKUP(B210,IF(A210="COMPOSICAO",S!$A:$D,I!$A:$D),3,FALSE)</f>
        <v>H</v>
      </c>
      <c r="H210" s="17">
        <v>1.4</v>
      </c>
      <c r="I210" s="17">
        <f>IF(A210="COMPOSICAO",VLOOKUP("TOTAL - "&amp;B210,COMPOSICAO_AUX_3!$A:$J,10,FALSE),VLOOKUP(B210,I!$A:$D,4,FALSE))</f>
        <v>10.6</v>
      </c>
      <c r="J210" s="80">
        <f t="shared" si="8"/>
        <v>14.84</v>
      </c>
      <c r="K210" s="81"/>
    </row>
    <row r="211" spans="1:13" ht="30" customHeight="1" x14ac:dyDescent="0.25">
      <c r="A211" s="16" t="s">
        <v>306</v>
      </c>
      <c r="B211" s="20">
        <v>43130</v>
      </c>
      <c r="C211" s="77" t="str">
        <f>VLOOKUP(B211,IF(A211="COMPOSICAO",S!$A:$D,I!$A:$D),2,FALSE)</f>
        <v>ARAME GALVANIZADO 12 BWG, D = 2,76 MM (0,048 KG/M) OU 14 BWG, D = 2,11 MM (0,026 KG/M)</v>
      </c>
      <c r="D211" s="77"/>
      <c r="E211" s="77"/>
      <c r="F211" s="77"/>
      <c r="G211" s="16" t="str">
        <f>VLOOKUP(B211,IF(A211="COMPOSICAO",S!$A:$D,I!$A:$D),3,FALSE)</f>
        <v>KG</v>
      </c>
      <c r="H211" s="17">
        <v>0.15</v>
      </c>
      <c r="I211" s="17">
        <f>IF(A211="COMPOSICAO",VLOOKUP("TOTAL - "&amp;B211,COMPOSICAO_AUX_3!$A:$J,10,FALSE),VLOOKUP(B211,I!$A:$D,4,FALSE))</f>
        <v>22.75</v>
      </c>
      <c r="J211" s="80">
        <f t="shared" si="8"/>
        <v>3.41</v>
      </c>
      <c r="K211" s="81"/>
    </row>
    <row r="212" spans="1:13" ht="15" customHeight="1" x14ac:dyDescent="0.25">
      <c r="A212" s="16" t="s">
        <v>302</v>
      </c>
      <c r="B212" s="16" t="s">
        <v>319</v>
      </c>
      <c r="C212" s="77" t="str">
        <f>VLOOKUP(B212,IF(A212="COMPOSICAO",S!$A:$D,I!$A:$D),2,FALSE)</f>
        <v>ENCARGOS COMPLEMENTARES - SERVENTE</v>
      </c>
      <c r="D212" s="77"/>
      <c r="E212" s="77"/>
      <c r="F212" s="77"/>
      <c r="G212" s="16" t="str">
        <f>VLOOKUP(B212,IF(A212="COMPOSICAO",S!$A:$D,I!$A:$D),3,FALSE)</f>
        <v>H</v>
      </c>
      <c r="H212" s="17">
        <v>1.4</v>
      </c>
      <c r="I212" s="17">
        <f>IF(A212="COMPOSICAO",VLOOKUP("TOTAL - "&amp;B212,COMPOSICAO_AUX_3!$A:$J,10,FALSE),VLOOKUP(B212,I!$A:$D,4,FALSE))</f>
        <v>2.9100000000000006</v>
      </c>
      <c r="J212" s="80">
        <f t="shared" si="8"/>
        <v>4.07</v>
      </c>
      <c r="K212" s="81"/>
    </row>
    <row r="213" spans="1:13" ht="15" customHeight="1" x14ac:dyDescent="0.25">
      <c r="A213" s="16" t="s">
        <v>302</v>
      </c>
      <c r="B213" s="16" t="s">
        <v>666</v>
      </c>
      <c r="C213" s="77" t="str">
        <f>VLOOKUP(B213,IF(A213="COMPOSICAO",S!$A:$D,I!$A:$D),2,FALSE)</f>
        <v>ENCARGOS COMPLEMENTARES - CARPINTEIRO</v>
      </c>
      <c r="D213" s="77"/>
      <c r="E213" s="77"/>
      <c r="F213" s="77"/>
      <c r="G213" s="16" t="str">
        <f>VLOOKUP(B213,IF(A213="COMPOSICAO",S!$A:$D,I!$A:$D),3,FALSE)</f>
        <v>H</v>
      </c>
      <c r="H213" s="17">
        <v>1.4</v>
      </c>
      <c r="I213" s="17">
        <f>IF(A213="COMPOSICAO",VLOOKUP("TOTAL - "&amp;B213,COMPOSICAO_AUX_3!$A:$J,10,FALSE),VLOOKUP(B213,I!$A:$D,4,FALSE))</f>
        <v>2.8400000000000003</v>
      </c>
      <c r="J213" s="80">
        <f t="shared" si="8"/>
        <v>3.97</v>
      </c>
      <c r="K213" s="81"/>
    </row>
    <row r="214" spans="1:13" ht="15" customHeight="1" x14ac:dyDescent="0.25">
      <c r="A214" s="23" t="s">
        <v>745</v>
      </c>
      <c r="B214" s="24"/>
      <c r="C214" s="24"/>
      <c r="D214" s="24"/>
      <c r="E214" s="24"/>
      <c r="F214" s="24"/>
      <c r="G214" s="25"/>
      <c r="H214" s="26"/>
      <c r="I214" s="27"/>
      <c r="J214" s="80">
        <f>SUM(J203:K213)</f>
        <v>78.72999999999999</v>
      </c>
      <c r="K214" s="81"/>
    </row>
    <row r="215" spans="1:13" ht="15" customHeight="1" x14ac:dyDescent="0.25">
      <c r="A215" s="3"/>
      <c r="B215" s="3"/>
      <c r="C215" s="3"/>
      <c r="D215" s="3"/>
      <c r="E215" s="3"/>
      <c r="F215" s="3"/>
      <c r="G215" s="3"/>
      <c r="H215" s="3"/>
      <c r="I215" s="3"/>
      <c r="J215" s="3"/>
      <c r="K215" s="3"/>
    </row>
    <row r="216" spans="1:13" ht="15" customHeight="1" x14ac:dyDescent="0.25">
      <c r="A216" s="10" t="s">
        <v>295</v>
      </c>
      <c r="B216" s="10" t="s">
        <v>31</v>
      </c>
      <c r="C216" s="82" t="s">
        <v>7</v>
      </c>
      <c r="D216" s="83"/>
      <c r="E216" s="83"/>
      <c r="F216" s="83"/>
      <c r="G216" s="6" t="s">
        <v>32</v>
      </c>
      <c r="H216" s="6" t="s">
        <v>296</v>
      </c>
      <c r="I216" s="6" t="s">
        <v>297</v>
      </c>
      <c r="J216" s="57" t="s">
        <v>9</v>
      </c>
      <c r="K216" s="58"/>
    </row>
    <row r="217" spans="1:13" ht="30" customHeight="1" x14ac:dyDescent="0.25">
      <c r="A217" s="6" t="s">
        <v>11</v>
      </c>
      <c r="B217" s="6" t="s">
        <v>434</v>
      </c>
      <c r="C217" s="91" t="str">
        <f>VLOOKUP(B217,S!$A:$D,2,FALSE)</f>
        <v>CONCRETO SIMPLES FABRICADO NA OBRA, FCK=15 MPA, LANÇADO E ADENSADO</v>
      </c>
      <c r="D217" s="91"/>
      <c r="E217" s="91"/>
      <c r="F217" s="92"/>
      <c r="G217" s="6" t="str">
        <f>VLOOKUP(B217,S!$A:$D,3,FALSE)</f>
        <v>M3</v>
      </c>
      <c r="H217" s="21"/>
      <c r="I217" s="21">
        <f>J220</f>
        <v>449.89</v>
      </c>
      <c r="J217" s="76"/>
      <c r="K217" s="72"/>
      <c r="L217" s="21">
        <f>VLOOKUP(B217,S!$A:$D,4,FALSE)</f>
        <v>478.52</v>
      </c>
      <c r="M217" s="6" t="str">
        <f>IF(ROUND((L217-I217),2)=0,"OK, confere com a tabela.",IF(ROUND((L217-I217),2)&lt;0,"ACIMA ("&amp;TEXT(ROUND(I217*100/L217,4),"0,0000")&amp;" %) da tabela.","ABAIXO ("&amp;TEXT(ROUND(I217*100/L217,4),"0,0000")&amp;" %) da tabela."))</f>
        <v>ABAIXO (94,0170 %) da tabela.</v>
      </c>
    </row>
    <row r="218" spans="1:13" ht="30" customHeight="1" x14ac:dyDescent="0.25">
      <c r="A218" s="16" t="s">
        <v>302</v>
      </c>
      <c r="B218" s="16" t="s">
        <v>671</v>
      </c>
      <c r="C218" s="77" t="str">
        <f>VLOOKUP(B218,IF(A218="COMPOSICAO",S!$A:$D,I!$A:$D),2,FALSE)</f>
        <v>CONCRETO SIMPLES FCK= 15 MPA (B1/B2), FABRICADO NA OBRA, SEM LANÇAMENTO E ADENSAMENTO</v>
      </c>
      <c r="D218" s="77"/>
      <c r="E218" s="77"/>
      <c r="F218" s="77"/>
      <c r="G218" s="16" t="str">
        <f>VLOOKUP(B218,IF(A218="COMPOSICAO",S!$A:$D,I!$A:$D),3,FALSE)</f>
        <v>M3</v>
      </c>
      <c r="H218" s="17">
        <v>1</v>
      </c>
      <c r="I218" s="17">
        <f>IF(A218="COMPOSICAO",VLOOKUP("TOTAL - "&amp;B218,COMPOSICAO_AUX_3!$A:$J,10,FALSE),VLOOKUP(B218,I!$A:$D,4,FALSE))</f>
        <v>412.07</v>
      </c>
      <c r="J218" s="80">
        <f>TRUNC(H218*I218,2)</f>
        <v>412.07</v>
      </c>
      <c r="K218" s="81"/>
    </row>
    <row r="219" spans="1:13" ht="45" customHeight="1" x14ac:dyDescent="0.25">
      <c r="A219" s="16" t="s">
        <v>302</v>
      </c>
      <c r="B219" s="16" t="s">
        <v>669</v>
      </c>
      <c r="C219" s="77" t="str">
        <f>VLOOKUP(B219,IF(A219="COMPOSICAO",S!$A:$D,I!$A:$D),2,FALSE)</f>
        <v>LANÇAMENTO DE CONCRETO SIMPLES FABRICADO NA OBRA, INCLUSIVE ADENSAMENTO E ACABAMENTO EM PEÇAS DA SUPERESTRUTURA</v>
      </c>
      <c r="D219" s="77"/>
      <c r="E219" s="77"/>
      <c r="F219" s="77"/>
      <c r="G219" s="16" t="str">
        <f>VLOOKUP(B219,IF(A219="COMPOSICAO",S!$A:$D,I!$A:$D),3,FALSE)</f>
        <v>M3</v>
      </c>
      <c r="H219" s="17">
        <v>1</v>
      </c>
      <c r="I219" s="17">
        <f>IF(A219="COMPOSICAO",VLOOKUP("TOTAL - "&amp;B219,COMPOSICAO_AUX_3!$A:$J,10,FALSE),VLOOKUP(B219,I!$A:$D,4,FALSE))</f>
        <v>37.820000000000007</v>
      </c>
      <c r="J219" s="80">
        <f>TRUNC(H219*I219,2)</f>
        <v>37.82</v>
      </c>
      <c r="K219" s="81"/>
    </row>
    <row r="220" spans="1:13" ht="15" customHeight="1" x14ac:dyDescent="0.25">
      <c r="A220" s="23" t="s">
        <v>672</v>
      </c>
      <c r="B220" s="24"/>
      <c r="C220" s="24"/>
      <c r="D220" s="24"/>
      <c r="E220" s="24"/>
      <c r="F220" s="24"/>
      <c r="G220" s="25"/>
      <c r="H220" s="26"/>
      <c r="I220" s="27"/>
      <c r="J220" s="80">
        <f>SUM(J217:K219)</f>
        <v>449.89</v>
      </c>
      <c r="K220" s="81"/>
    </row>
    <row r="221" spans="1:13" ht="15" customHeight="1" x14ac:dyDescent="0.25">
      <c r="A221" s="3"/>
      <c r="B221" s="3"/>
      <c r="C221" s="3"/>
      <c r="D221" s="3"/>
      <c r="E221" s="3"/>
      <c r="F221" s="3"/>
      <c r="G221" s="3"/>
      <c r="H221" s="3"/>
      <c r="I221" s="3"/>
      <c r="J221" s="3"/>
      <c r="K221" s="3"/>
    </row>
    <row r="222" spans="1:13" ht="15" customHeight="1" x14ac:dyDescent="0.25">
      <c r="A222" s="10" t="s">
        <v>295</v>
      </c>
      <c r="B222" s="10" t="s">
        <v>31</v>
      </c>
      <c r="C222" s="82" t="s">
        <v>7</v>
      </c>
      <c r="D222" s="83"/>
      <c r="E222" s="83"/>
      <c r="F222" s="83"/>
      <c r="G222" s="6" t="s">
        <v>32</v>
      </c>
      <c r="H222" s="6" t="s">
        <v>296</v>
      </c>
      <c r="I222" s="6" t="s">
        <v>297</v>
      </c>
      <c r="J222" s="57" t="s">
        <v>9</v>
      </c>
      <c r="K222" s="58"/>
    </row>
    <row r="223" spans="1:13" ht="60" customHeight="1" x14ac:dyDescent="0.25">
      <c r="A223" s="6" t="s">
        <v>11</v>
      </c>
      <c r="B223" s="6" t="s">
        <v>436</v>
      </c>
      <c r="C223" s="91" t="str">
        <f>VLOOKUP(B223,S!$A:$D,2,FALSE)</f>
        <v>ALVENARIA TIJOLO CERÂMICO MACIÇO (5X9X19), ESP = 0,09M (SINGELA), COM ARGAMASSA TRAÇO T5 - 1:2:8 (CIMENTO / CAL / AREIA) C/ JUNTA DE 2,0CM - R1</v>
      </c>
      <c r="D223" s="91"/>
      <c r="E223" s="91"/>
      <c r="F223" s="92"/>
      <c r="G223" s="6" t="str">
        <f>VLOOKUP(B223,S!$A:$D,3,FALSE)</f>
        <v>M2</v>
      </c>
      <c r="H223" s="21"/>
      <c r="I223" s="21">
        <f>J230</f>
        <v>76.84</v>
      </c>
      <c r="J223" s="76"/>
      <c r="K223" s="72"/>
      <c r="L223" s="21">
        <f>VLOOKUP(B223,S!$A:$D,4,FALSE)</f>
        <v>76.16</v>
      </c>
      <c r="M223" s="6" t="str">
        <f>IF(ROUND((L223-I223),2)=0,"OK, confere com a tabela.",IF(ROUND((L223-I223),2)&lt;0,"ACIMA ("&amp;TEXT(ROUND(I223*100/L223,4),"0,0000")&amp;" %) da tabela.","ABAIXO ("&amp;TEXT(ROUND(I223*100/L223,4),"0,0000")&amp;" %) da tabela."))</f>
        <v>ACIMA (100,8929 %) da tabela.</v>
      </c>
    </row>
    <row r="224" spans="1:13" ht="15" customHeight="1" x14ac:dyDescent="0.25">
      <c r="A224" s="16" t="s">
        <v>306</v>
      </c>
      <c r="B224" s="16" t="s">
        <v>676</v>
      </c>
      <c r="C224" s="77" t="str">
        <f>VLOOKUP(B224,IF(A224="COMPOSICAO",S!$A:$D,I!$A:$D),2,FALSE)</f>
        <v>TIJOLO CERÂMICO MACIÇO 5 X 9 X 19CM</v>
      </c>
      <c r="D224" s="77"/>
      <c r="E224" s="77"/>
      <c r="F224" s="77"/>
      <c r="G224" s="16" t="str">
        <f>VLOOKUP(B224,IF(A224="COMPOSICAO",S!$A:$D,I!$A:$D),3,FALSE)</f>
        <v>UN</v>
      </c>
      <c r="H224" s="17">
        <v>68</v>
      </c>
      <c r="I224" s="17">
        <f>IF(A224="COMPOSICAO",VLOOKUP("TOTAL - "&amp;B224,COMPOSICAO_AUX_3!$A:$J,10,FALSE),VLOOKUP(B224,I!$A:$D,4,FALSE))</f>
        <v>0.35</v>
      </c>
      <c r="J224" s="80">
        <f t="shared" ref="J224:J229" si="9">TRUNC(H224*I224,2)</f>
        <v>23.8</v>
      </c>
      <c r="K224" s="81"/>
    </row>
    <row r="225" spans="1:13" ht="15" customHeight="1" x14ac:dyDescent="0.25">
      <c r="A225" s="16" t="s">
        <v>306</v>
      </c>
      <c r="B225" s="20">
        <v>4750</v>
      </c>
      <c r="C225" s="77" t="str">
        <f>VLOOKUP(B225,IF(A225="COMPOSICAO",S!$A:$D,I!$A:$D),2,FALSE)</f>
        <v>PEDREIRO</v>
      </c>
      <c r="D225" s="77"/>
      <c r="E225" s="77"/>
      <c r="F225" s="77"/>
      <c r="G225" s="16" t="str">
        <f>VLOOKUP(B225,IF(A225="COMPOSICAO",S!$A:$D,I!$A:$D),3,FALSE)</f>
        <v>H</v>
      </c>
      <c r="H225" s="17">
        <v>1.52</v>
      </c>
      <c r="I225" s="17">
        <f>IF(A225="COMPOSICAO",VLOOKUP("TOTAL - "&amp;B225,COMPOSICAO_AUX_3!$A:$J,10,FALSE),VLOOKUP(B225,I!$A:$D,4,FALSE))</f>
        <v>14.93</v>
      </c>
      <c r="J225" s="80">
        <f t="shared" si="9"/>
        <v>22.69</v>
      </c>
      <c r="K225" s="81"/>
    </row>
    <row r="226" spans="1:13" ht="15" customHeight="1" x14ac:dyDescent="0.25">
      <c r="A226" s="16" t="s">
        <v>306</v>
      </c>
      <c r="B226" s="20">
        <v>6111</v>
      </c>
      <c r="C226" s="77" t="str">
        <f>VLOOKUP(B226,IF(A226="COMPOSICAO",S!$A:$D,I!$A:$D),2,FALSE)</f>
        <v>SERVENTE DE OBRAS</v>
      </c>
      <c r="D226" s="77"/>
      <c r="E226" s="77"/>
      <c r="F226" s="77"/>
      <c r="G226" s="16" t="str">
        <f>VLOOKUP(B226,IF(A226="COMPOSICAO",S!$A:$D,I!$A:$D),3,FALSE)</f>
        <v>H</v>
      </c>
      <c r="H226" s="17">
        <v>0.91</v>
      </c>
      <c r="I226" s="17">
        <f>IF(A226="COMPOSICAO",VLOOKUP("TOTAL - "&amp;B226,COMPOSICAO_AUX_3!$A:$J,10,FALSE),VLOOKUP(B226,I!$A:$D,4,FALSE))</f>
        <v>10.6</v>
      </c>
      <c r="J226" s="80">
        <f t="shared" si="9"/>
        <v>9.64</v>
      </c>
      <c r="K226" s="81"/>
    </row>
    <row r="227" spans="1:13" ht="75" customHeight="1" x14ac:dyDescent="0.25">
      <c r="A227" s="16" t="s">
        <v>302</v>
      </c>
      <c r="B227" s="16" t="s">
        <v>677</v>
      </c>
      <c r="C227" s="77" t="str">
        <f>VLOOKUP(B227,IF(A227="COMPOSICAO",S!$A:$D,I!$A:$D),2,FALSE)</f>
        <v>ARGAMASSA EM VOLUME - CIMENTO, CAL E AREIA TRAÇO T-5 (1:2:8) - 1 SACO CIMENTO 50 KG / 2 SACOS CAL 20 KG / 8 PADIOLAS DE AREIA DIM 0.35 X 0.45 X 0.13 M - CONFECÇÃO MECÂNICA E TRANSPORTE</v>
      </c>
      <c r="D227" s="77"/>
      <c r="E227" s="77"/>
      <c r="F227" s="77"/>
      <c r="G227" s="16" t="str">
        <f>VLOOKUP(B227,IF(A227="COMPOSICAO",S!$A:$D,I!$A:$D),3,FALSE)</f>
        <v>M3</v>
      </c>
      <c r="H227" s="30">
        <v>3.2000000000000001E-2</v>
      </c>
      <c r="I227" s="17">
        <f>IF(A227="COMPOSICAO",VLOOKUP("TOTAL - "&amp;B227,COMPOSICAO_AUX_3!$A:$J,10,FALSE),VLOOKUP(B227,I!$A:$D,4,FALSE))</f>
        <v>431.93999999999994</v>
      </c>
      <c r="J227" s="80">
        <f t="shared" si="9"/>
        <v>13.82</v>
      </c>
      <c r="K227" s="81"/>
    </row>
    <row r="228" spans="1:13" ht="15" customHeight="1" x14ac:dyDescent="0.25">
      <c r="A228" s="16" t="s">
        <v>302</v>
      </c>
      <c r="B228" s="16" t="s">
        <v>319</v>
      </c>
      <c r="C228" s="77" t="str">
        <f>VLOOKUP(B228,IF(A228="COMPOSICAO",S!$A:$D,I!$A:$D),2,FALSE)</f>
        <v>ENCARGOS COMPLEMENTARES - SERVENTE</v>
      </c>
      <c r="D228" s="77"/>
      <c r="E228" s="77"/>
      <c r="F228" s="77"/>
      <c r="G228" s="16" t="str">
        <f>VLOOKUP(B228,IF(A228="COMPOSICAO",S!$A:$D,I!$A:$D),3,FALSE)</f>
        <v>H</v>
      </c>
      <c r="H228" s="17">
        <v>0.91</v>
      </c>
      <c r="I228" s="17">
        <f>IF(A228="COMPOSICAO",VLOOKUP("TOTAL - "&amp;B228,COMPOSICAO_AUX_3!$A:$J,10,FALSE),VLOOKUP(B228,I!$A:$D,4,FALSE))</f>
        <v>2.9100000000000006</v>
      </c>
      <c r="J228" s="80">
        <f t="shared" si="9"/>
        <v>2.64</v>
      </c>
      <c r="K228" s="81"/>
    </row>
    <row r="229" spans="1:13" ht="15" customHeight="1" x14ac:dyDescent="0.25">
      <c r="A229" s="16" t="s">
        <v>302</v>
      </c>
      <c r="B229" s="16" t="s">
        <v>383</v>
      </c>
      <c r="C229" s="77" t="str">
        <f>VLOOKUP(B229,IF(A229="COMPOSICAO",S!$A:$D,I!$A:$D),2,FALSE)</f>
        <v>ENCARGOS COMPLEMENTARES - PEDREIRO</v>
      </c>
      <c r="D229" s="77"/>
      <c r="E229" s="77"/>
      <c r="F229" s="77"/>
      <c r="G229" s="16" t="str">
        <f>VLOOKUP(B229,IF(A229="COMPOSICAO",S!$A:$D,I!$A:$D),3,FALSE)</f>
        <v>H</v>
      </c>
      <c r="H229" s="17">
        <v>1.52</v>
      </c>
      <c r="I229" s="17">
        <f>IF(A229="COMPOSICAO",VLOOKUP("TOTAL - "&amp;B229,COMPOSICAO_AUX_3!$A:$J,10,FALSE),VLOOKUP(B229,I!$A:$D,4,FALSE))</f>
        <v>2.8000000000000003</v>
      </c>
      <c r="J229" s="80">
        <f t="shared" si="9"/>
        <v>4.25</v>
      </c>
      <c r="K229" s="81"/>
    </row>
    <row r="230" spans="1:13" ht="15" customHeight="1" x14ac:dyDescent="0.25">
      <c r="A230" s="23" t="s">
        <v>678</v>
      </c>
      <c r="B230" s="24"/>
      <c r="C230" s="24"/>
      <c r="D230" s="24"/>
      <c r="E230" s="24"/>
      <c r="F230" s="24"/>
      <c r="G230" s="25"/>
      <c r="H230" s="26"/>
      <c r="I230" s="27"/>
      <c r="J230" s="80">
        <f>SUM(J223:K229)</f>
        <v>76.84</v>
      </c>
      <c r="K230" s="81"/>
    </row>
    <row r="231" spans="1:13" ht="15" customHeight="1" x14ac:dyDescent="0.25">
      <c r="A231" s="3"/>
      <c r="B231" s="3"/>
      <c r="C231" s="3"/>
      <c r="D231" s="3"/>
      <c r="E231" s="3"/>
      <c r="F231" s="3"/>
      <c r="G231" s="3"/>
      <c r="H231" s="3"/>
      <c r="I231" s="3"/>
      <c r="J231" s="3"/>
      <c r="K231" s="3"/>
    </row>
    <row r="232" spans="1:13" ht="15" customHeight="1" x14ac:dyDescent="0.25">
      <c r="A232" s="10" t="s">
        <v>295</v>
      </c>
      <c r="B232" s="10" t="s">
        <v>31</v>
      </c>
      <c r="C232" s="82" t="s">
        <v>7</v>
      </c>
      <c r="D232" s="83"/>
      <c r="E232" s="83"/>
      <c r="F232" s="83"/>
      <c r="G232" s="6" t="s">
        <v>32</v>
      </c>
      <c r="H232" s="6" t="s">
        <v>296</v>
      </c>
      <c r="I232" s="6" t="s">
        <v>297</v>
      </c>
      <c r="J232" s="57" t="s">
        <v>9</v>
      </c>
      <c r="K232" s="58"/>
    </row>
    <row r="233" spans="1:13" ht="30" customHeight="1" x14ac:dyDescent="0.25">
      <c r="A233" s="6" t="s">
        <v>11</v>
      </c>
      <c r="B233" s="6" t="s">
        <v>317</v>
      </c>
      <c r="C233" s="91" t="str">
        <f>VLOOKUP(B233,S!$A:$D,2,FALSE)</f>
        <v>ESCAVAÇÃO MANUAL DE VALA OU CAVA EM MATERIAL DE 1ª CATEGORIA, PROFUNDIDADE ATÉ 1,50M</v>
      </c>
      <c r="D233" s="91"/>
      <c r="E233" s="91"/>
      <c r="F233" s="92"/>
      <c r="G233" s="6" t="str">
        <f>VLOOKUP(B233,S!$A:$D,3,FALSE)</f>
        <v>M3</v>
      </c>
      <c r="H233" s="21"/>
      <c r="I233" s="21">
        <f>J236</f>
        <v>40.53</v>
      </c>
      <c r="J233" s="76"/>
      <c r="K233" s="72"/>
      <c r="L233" s="21">
        <f>VLOOKUP(B233,S!$A:$D,4,FALSE)</f>
        <v>40.590000000000003</v>
      </c>
      <c r="M233" s="6" t="str">
        <f>IF(ROUND((L233-I233),2)=0,"OK, confere com a tabela.",IF(ROUND((L233-I233),2)&lt;0,"ACIMA ("&amp;TEXT(ROUND(I233*100/L233,4),"0,0000")&amp;" %) da tabela.","ABAIXO ("&amp;TEXT(ROUND(I233*100/L233,4),"0,0000")&amp;" %) da tabela."))</f>
        <v>ABAIXO (99,8522 %) da tabela.</v>
      </c>
    </row>
    <row r="234" spans="1:13" ht="15" customHeight="1" x14ac:dyDescent="0.25">
      <c r="A234" s="16" t="s">
        <v>306</v>
      </c>
      <c r="B234" s="20">
        <v>6111</v>
      </c>
      <c r="C234" s="77" t="str">
        <f>VLOOKUP(B234,IF(A234="COMPOSICAO",S!$A:$D,I!$A:$D),2,FALSE)</f>
        <v>SERVENTE DE OBRAS</v>
      </c>
      <c r="D234" s="77"/>
      <c r="E234" s="77"/>
      <c r="F234" s="77"/>
      <c r="G234" s="16" t="str">
        <f>VLOOKUP(B234,IF(A234="COMPOSICAO",S!$A:$D,I!$A:$D),3,FALSE)</f>
        <v>H</v>
      </c>
      <c r="H234" s="17">
        <v>3</v>
      </c>
      <c r="I234" s="17">
        <f>IF(A234="COMPOSICAO",VLOOKUP("TOTAL - "&amp;B234,COMPOSICAO_AUX_3!$A:$J,10,FALSE),VLOOKUP(B234,I!$A:$D,4,FALSE))</f>
        <v>10.6</v>
      </c>
      <c r="J234" s="80">
        <f>TRUNC(H234*I234,2)</f>
        <v>31.8</v>
      </c>
      <c r="K234" s="81"/>
    </row>
    <row r="235" spans="1:13" ht="15" customHeight="1" x14ac:dyDescent="0.25">
      <c r="A235" s="16" t="s">
        <v>302</v>
      </c>
      <c r="B235" s="16" t="s">
        <v>319</v>
      </c>
      <c r="C235" s="77" t="str">
        <f>VLOOKUP(B235,IF(A235="COMPOSICAO",S!$A:$D,I!$A:$D),2,FALSE)</f>
        <v>ENCARGOS COMPLEMENTARES - SERVENTE</v>
      </c>
      <c r="D235" s="77"/>
      <c r="E235" s="77"/>
      <c r="F235" s="77"/>
      <c r="G235" s="16" t="str">
        <f>VLOOKUP(B235,IF(A235="COMPOSICAO",S!$A:$D,I!$A:$D),3,FALSE)</f>
        <v>H</v>
      </c>
      <c r="H235" s="17">
        <v>3</v>
      </c>
      <c r="I235" s="17">
        <f>IF(A235="COMPOSICAO",VLOOKUP("TOTAL - "&amp;B235,COMPOSICAO_AUX_3!$A:$J,10,FALSE),VLOOKUP(B235,I!$A:$D,4,FALSE))</f>
        <v>2.9100000000000006</v>
      </c>
      <c r="J235" s="80">
        <f>TRUNC(H235*I235,2)</f>
        <v>8.73</v>
      </c>
      <c r="K235" s="81"/>
    </row>
    <row r="236" spans="1:13" ht="15" customHeight="1" x14ac:dyDescent="0.25">
      <c r="A236" s="23" t="s">
        <v>511</v>
      </c>
      <c r="B236" s="24"/>
      <c r="C236" s="24"/>
      <c r="D236" s="24"/>
      <c r="E236" s="24"/>
      <c r="F236" s="24"/>
      <c r="G236" s="25"/>
      <c r="H236" s="26"/>
      <c r="I236" s="27"/>
      <c r="J236" s="80">
        <f>SUM(J233:K235)</f>
        <v>40.53</v>
      </c>
      <c r="K236" s="81"/>
    </row>
    <row r="237" spans="1:13" ht="15" customHeight="1" x14ac:dyDescent="0.25">
      <c r="A237" s="3"/>
      <c r="B237" s="3"/>
      <c r="C237" s="3"/>
      <c r="D237" s="3"/>
      <c r="E237" s="3"/>
      <c r="F237" s="3"/>
      <c r="G237" s="3"/>
      <c r="H237" s="3"/>
      <c r="I237" s="3"/>
      <c r="J237" s="3"/>
      <c r="K237" s="3"/>
    </row>
    <row r="238" spans="1:13" ht="15" customHeight="1" x14ac:dyDescent="0.25">
      <c r="A238" s="10" t="s">
        <v>295</v>
      </c>
      <c r="B238" s="10" t="s">
        <v>31</v>
      </c>
      <c r="C238" s="82" t="s">
        <v>7</v>
      </c>
      <c r="D238" s="83"/>
      <c r="E238" s="83"/>
      <c r="F238" s="83"/>
      <c r="G238" s="6" t="s">
        <v>32</v>
      </c>
      <c r="H238" s="6" t="s">
        <v>296</v>
      </c>
      <c r="I238" s="6" t="s">
        <v>297</v>
      </c>
      <c r="J238" s="57" t="s">
        <v>9</v>
      </c>
      <c r="K238" s="58"/>
    </row>
    <row r="239" spans="1:13" ht="30" customHeight="1" x14ac:dyDescent="0.25">
      <c r="A239" s="6" t="s">
        <v>11</v>
      </c>
      <c r="B239" s="6" t="s">
        <v>438</v>
      </c>
      <c r="C239" s="91" t="str">
        <f>VLOOKUP(B239,S!$A:$D,2,FALSE)</f>
        <v>CHAPISCO EM PAREDE COM ARGAMASSA TRAÇO T1 - 1:3 (CIMENTO / AREIA) - REVISADO 08/2015</v>
      </c>
      <c r="D239" s="91"/>
      <c r="E239" s="91"/>
      <c r="F239" s="92"/>
      <c r="G239" s="6" t="str">
        <f>VLOOKUP(B239,S!$A:$D,3,FALSE)</f>
        <v>M2</v>
      </c>
      <c r="H239" s="21"/>
      <c r="I239" s="21">
        <f>J245</f>
        <v>5.26</v>
      </c>
      <c r="J239" s="76"/>
      <c r="K239" s="72"/>
      <c r="L239" s="21">
        <f>VLOOKUP(B239,S!$A:$D,4,FALSE)</f>
        <v>5.36</v>
      </c>
      <c r="M239" s="6" t="str">
        <f>IF(ROUND((L239-I239),2)=0,"OK, confere com a tabela.",IF(ROUND((L239-I239),2)&lt;0,"ACIMA ("&amp;TEXT(ROUND(I239*100/L239,4),"0,0000")&amp;" %) da tabela.","ABAIXO ("&amp;TEXT(ROUND(I239*100/L239,4),"0,0000")&amp;" %) da tabela."))</f>
        <v>ABAIXO (98,1343 %) da tabela.</v>
      </c>
    </row>
    <row r="240" spans="1:13" ht="15" customHeight="1" x14ac:dyDescent="0.25">
      <c r="A240" s="16" t="s">
        <v>306</v>
      </c>
      <c r="B240" s="20">
        <v>4750</v>
      </c>
      <c r="C240" s="77" t="str">
        <f>VLOOKUP(B240,IF(A240="COMPOSICAO",S!$A:$D,I!$A:$D),2,FALSE)</f>
        <v>PEDREIRO</v>
      </c>
      <c r="D240" s="77"/>
      <c r="E240" s="77"/>
      <c r="F240" s="77"/>
      <c r="G240" s="16" t="str">
        <f>VLOOKUP(B240,IF(A240="COMPOSICAO",S!$A:$D,I!$A:$D),3,FALSE)</f>
        <v>H</v>
      </c>
      <c r="H240" s="17">
        <v>0.1</v>
      </c>
      <c r="I240" s="17">
        <f>IF(A240="COMPOSICAO",VLOOKUP("TOTAL - "&amp;B240,COMPOSICAO_AUX_3!$A:$J,10,FALSE),VLOOKUP(B240,I!$A:$D,4,FALSE))</f>
        <v>14.93</v>
      </c>
      <c r="J240" s="80">
        <f>TRUNC(H240*I240,2)</f>
        <v>1.49</v>
      </c>
      <c r="K240" s="81"/>
    </row>
    <row r="241" spans="1:13" ht="15" customHeight="1" x14ac:dyDescent="0.25">
      <c r="A241" s="16" t="s">
        <v>306</v>
      </c>
      <c r="B241" s="20">
        <v>6111</v>
      </c>
      <c r="C241" s="77" t="str">
        <f>VLOOKUP(B241,IF(A241="COMPOSICAO",S!$A:$D,I!$A:$D),2,FALSE)</f>
        <v>SERVENTE DE OBRAS</v>
      </c>
      <c r="D241" s="77"/>
      <c r="E241" s="77"/>
      <c r="F241" s="77"/>
      <c r="G241" s="16" t="str">
        <f>VLOOKUP(B241,IF(A241="COMPOSICAO",S!$A:$D,I!$A:$D),3,FALSE)</f>
        <v>H</v>
      </c>
      <c r="H241" s="17">
        <v>0.1</v>
      </c>
      <c r="I241" s="17">
        <f>IF(A241="COMPOSICAO",VLOOKUP("TOTAL - "&amp;B241,COMPOSICAO_AUX_3!$A:$J,10,FALSE),VLOOKUP(B241,I!$A:$D,4,FALSE))</f>
        <v>10.6</v>
      </c>
      <c r="J241" s="80">
        <f>TRUNC(H241*I241,2)</f>
        <v>1.06</v>
      </c>
      <c r="K241" s="81"/>
    </row>
    <row r="242" spans="1:13" ht="60" customHeight="1" x14ac:dyDescent="0.25">
      <c r="A242" s="16" t="s">
        <v>302</v>
      </c>
      <c r="B242" s="16" t="s">
        <v>395</v>
      </c>
      <c r="C242" s="77" t="str">
        <f>VLOOKUP(B242,IF(A242="COMPOSICAO",S!$A:$D,I!$A:$D),2,FALSE)</f>
        <v>ARGAMASSA CIMENTO E AREIA TRAÇO T-1 (1:3) - 1 SACO CIMENTO 50KG / 3 PADIOLAS AREIA DIM. 0.35 X 0.45 X 0.23 M - CONFECÇÃO MECÂNICA E TRANSPORTE</v>
      </c>
      <c r="D242" s="77"/>
      <c r="E242" s="77"/>
      <c r="F242" s="77"/>
      <c r="G242" s="16" t="str">
        <f>VLOOKUP(B242,IF(A242="COMPOSICAO",S!$A:$D,I!$A:$D),3,FALSE)</f>
        <v>M3</v>
      </c>
      <c r="H242" s="30">
        <v>5.0000000000000001E-3</v>
      </c>
      <c r="I242" s="17">
        <f>IF(A242="COMPOSICAO",VLOOKUP("TOTAL - "&amp;B242,COMPOSICAO_AUX_3!$A:$J,10,FALSE),VLOOKUP(B242,I!$A:$D,4,FALSE))</f>
        <v>428.9</v>
      </c>
      <c r="J242" s="80">
        <f>TRUNC(H242*I242,2)</f>
        <v>2.14</v>
      </c>
      <c r="K242" s="81"/>
    </row>
    <row r="243" spans="1:13" ht="15" customHeight="1" x14ac:dyDescent="0.25">
      <c r="A243" s="16" t="s">
        <v>302</v>
      </c>
      <c r="B243" s="16" t="s">
        <v>319</v>
      </c>
      <c r="C243" s="77" t="str">
        <f>VLOOKUP(B243,IF(A243="COMPOSICAO",S!$A:$D,I!$A:$D),2,FALSE)</f>
        <v>ENCARGOS COMPLEMENTARES - SERVENTE</v>
      </c>
      <c r="D243" s="77"/>
      <c r="E243" s="77"/>
      <c r="F243" s="77"/>
      <c r="G243" s="16" t="str">
        <f>VLOOKUP(B243,IF(A243="COMPOSICAO",S!$A:$D,I!$A:$D),3,FALSE)</f>
        <v>H</v>
      </c>
      <c r="H243" s="17">
        <v>0.1</v>
      </c>
      <c r="I243" s="17">
        <f>IF(A243="COMPOSICAO",VLOOKUP("TOTAL - "&amp;B243,COMPOSICAO_AUX_3!$A:$J,10,FALSE),VLOOKUP(B243,I!$A:$D,4,FALSE))</f>
        <v>2.9100000000000006</v>
      </c>
      <c r="J243" s="80">
        <f>TRUNC(H243*I243,2)</f>
        <v>0.28999999999999998</v>
      </c>
      <c r="K243" s="81"/>
    </row>
    <row r="244" spans="1:13" ht="15" customHeight="1" x14ac:dyDescent="0.25">
      <c r="A244" s="16" t="s">
        <v>302</v>
      </c>
      <c r="B244" s="16" t="s">
        <v>383</v>
      </c>
      <c r="C244" s="77" t="str">
        <f>VLOOKUP(B244,IF(A244="COMPOSICAO",S!$A:$D,I!$A:$D),2,FALSE)</f>
        <v>ENCARGOS COMPLEMENTARES - PEDREIRO</v>
      </c>
      <c r="D244" s="77"/>
      <c r="E244" s="77"/>
      <c r="F244" s="77"/>
      <c r="G244" s="16" t="str">
        <f>VLOOKUP(B244,IF(A244="COMPOSICAO",S!$A:$D,I!$A:$D),3,FALSE)</f>
        <v>H</v>
      </c>
      <c r="H244" s="17">
        <v>0.1</v>
      </c>
      <c r="I244" s="17">
        <f>IF(A244="COMPOSICAO",VLOOKUP("TOTAL - "&amp;B244,COMPOSICAO_AUX_3!$A:$J,10,FALSE),VLOOKUP(B244,I!$A:$D,4,FALSE))</f>
        <v>2.8000000000000003</v>
      </c>
      <c r="J244" s="80">
        <f>TRUNC(H244*I244,2)</f>
        <v>0.28000000000000003</v>
      </c>
      <c r="K244" s="81"/>
    </row>
    <row r="245" spans="1:13" ht="15" customHeight="1" x14ac:dyDescent="0.25">
      <c r="A245" s="23" t="s">
        <v>680</v>
      </c>
      <c r="B245" s="24"/>
      <c r="C245" s="24"/>
      <c r="D245" s="24"/>
      <c r="E245" s="24"/>
      <c r="F245" s="24"/>
      <c r="G245" s="25"/>
      <c r="H245" s="26"/>
      <c r="I245" s="27"/>
      <c r="J245" s="80">
        <f>SUM(J239:K244)</f>
        <v>5.26</v>
      </c>
      <c r="K245" s="81"/>
    </row>
    <row r="246" spans="1:13" ht="15" customHeight="1" x14ac:dyDescent="0.25">
      <c r="A246" s="3"/>
      <c r="B246" s="3"/>
      <c r="C246" s="3"/>
      <c r="D246" s="3"/>
      <c r="E246" s="3"/>
      <c r="F246" s="3"/>
      <c r="G246" s="3"/>
      <c r="H246" s="3"/>
      <c r="I246" s="3"/>
      <c r="J246" s="3"/>
      <c r="K246" s="3"/>
    </row>
    <row r="247" spans="1:13" ht="15" customHeight="1" x14ac:dyDescent="0.25">
      <c r="A247" s="10" t="s">
        <v>295</v>
      </c>
      <c r="B247" s="10" t="s">
        <v>31</v>
      </c>
      <c r="C247" s="82" t="s">
        <v>7</v>
      </c>
      <c r="D247" s="83"/>
      <c r="E247" s="83"/>
      <c r="F247" s="83"/>
      <c r="G247" s="6" t="s">
        <v>32</v>
      </c>
      <c r="H247" s="6" t="s">
        <v>296</v>
      </c>
      <c r="I247" s="6" t="s">
        <v>297</v>
      </c>
      <c r="J247" s="57" t="s">
        <v>9</v>
      </c>
      <c r="K247" s="58"/>
    </row>
    <row r="248" spans="1:13" ht="30" customHeight="1" x14ac:dyDescent="0.25">
      <c r="A248" s="6" t="s">
        <v>11</v>
      </c>
      <c r="B248" s="6" t="s">
        <v>557</v>
      </c>
      <c r="C248" s="91" t="str">
        <f>VLOOKUP(B248,S!$A:$D,2,FALSE)</f>
        <v>REBOCO ESPECIAL DE PAREDE 2CM COM ARGAMASSA TRAÇO T3 - 1:3 CIMENTO / AREIA / VEDACIT</v>
      </c>
      <c r="D248" s="91"/>
      <c r="E248" s="91"/>
      <c r="F248" s="92"/>
      <c r="G248" s="6" t="str">
        <f>VLOOKUP(B248,S!$A:$D,3,FALSE)</f>
        <v>M2</v>
      </c>
      <c r="H248" s="21"/>
      <c r="I248" s="21">
        <f>J254</f>
        <v>29.479999999999997</v>
      </c>
      <c r="J248" s="76"/>
      <c r="K248" s="72"/>
      <c r="L248" s="21">
        <f>VLOOKUP(B248,S!$A:$D,4,FALSE)</f>
        <v>29.78</v>
      </c>
      <c r="M248" s="6" t="str">
        <f>IF(ROUND((L248-I248),2)=0,"OK, confere com a tabela.",IF(ROUND((L248-I248),2)&lt;0,"ACIMA ("&amp;TEXT(ROUND(I248*100/L248,4),"0,0000")&amp;" %) da tabela.","ABAIXO ("&amp;TEXT(ROUND(I248*100/L248,4),"0,0000")&amp;" %) da tabela."))</f>
        <v>ABAIXO (98,9926 %) da tabela.</v>
      </c>
    </row>
    <row r="249" spans="1:13" ht="15" customHeight="1" x14ac:dyDescent="0.25">
      <c r="A249" s="16" t="s">
        <v>306</v>
      </c>
      <c r="B249" s="20">
        <v>4750</v>
      </c>
      <c r="C249" s="77" t="str">
        <f>VLOOKUP(B249,IF(A249="COMPOSICAO",S!$A:$D,I!$A:$D),2,FALSE)</f>
        <v>PEDREIRO</v>
      </c>
      <c r="D249" s="77"/>
      <c r="E249" s="77"/>
      <c r="F249" s="77"/>
      <c r="G249" s="16" t="str">
        <f>VLOOKUP(B249,IF(A249="COMPOSICAO",S!$A:$D,I!$A:$D),3,FALSE)</f>
        <v>H</v>
      </c>
      <c r="H249" s="17">
        <v>0.6</v>
      </c>
      <c r="I249" s="17">
        <f>IF(A249="COMPOSICAO",VLOOKUP("TOTAL - "&amp;B249,COMPOSICAO_AUX_3!$A:$J,10,FALSE),VLOOKUP(B249,I!$A:$D,4,FALSE))</f>
        <v>14.93</v>
      </c>
      <c r="J249" s="80">
        <f>TRUNC(H249*I249,2)</f>
        <v>8.9499999999999993</v>
      </c>
      <c r="K249" s="81"/>
    </row>
    <row r="250" spans="1:13" ht="15" customHeight="1" x14ac:dyDescent="0.25">
      <c r="A250" s="16" t="s">
        <v>306</v>
      </c>
      <c r="B250" s="20">
        <v>6111</v>
      </c>
      <c r="C250" s="77" t="str">
        <f>VLOOKUP(B250,IF(A250="COMPOSICAO",S!$A:$D,I!$A:$D),2,FALSE)</f>
        <v>SERVENTE DE OBRAS</v>
      </c>
      <c r="D250" s="77"/>
      <c r="E250" s="77"/>
      <c r="F250" s="77"/>
      <c r="G250" s="16" t="str">
        <f>VLOOKUP(B250,IF(A250="COMPOSICAO",S!$A:$D,I!$A:$D),3,FALSE)</f>
        <v>H</v>
      </c>
      <c r="H250" s="17">
        <v>0.6</v>
      </c>
      <c r="I250" s="17">
        <f>IF(A250="COMPOSICAO",VLOOKUP("TOTAL - "&amp;B250,COMPOSICAO_AUX_3!$A:$J,10,FALSE),VLOOKUP(B250,I!$A:$D,4,FALSE))</f>
        <v>10.6</v>
      </c>
      <c r="J250" s="80">
        <f>TRUNC(H250*I250,2)</f>
        <v>6.36</v>
      </c>
      <c r="K250" s="81"/>
    </row>
    <row r="251" spans="1:13" ht="75" customHeight="1" x14ac:dyDescent="0.25">
      <c r="A251" s="16" t="s">
        <v>302</v>
      </c>
      <c r="B251" s="16" t="s">
        <v>746</v>
      </c>
      <c r="C251" s="77" t="str">
        <f>VLOOKUP(B251,IF(A251="COMPOSICAO",S!$A:$D,I!$A:$D),2,FALSE)</f>
        <v>ARGAMASSA CIMENTO E AREIA TRAÇO T-3 (1:3), COM ADITIVO VEDACIT OU SIMILAR- 1 SACO CIMENTO 50KG / 3 PADIOLAS AREIA DIM. 0,35X0,45X0,23M / 2KG ADITIVO VEDACIT - CONFECÇÃO MECÂNICA E TRANSPORTE</v>
      </c>
      <c r="D251" s="77"/>
      <c r="E251" s="77"/>
      <c r="F251" s="77"/>
      <c r="G251" s="16" t="str">
        <f>VLOOKUP(B251,IF(A251="COMPOSICAO",S!$A:$D,I!$A:$D),3,FALSE)</f>
        <v>M3</v>
      </c>
      <c r="H251" s="17">
        <v>0.02</v>
      </c>
      <c r="I251" s="17">
        <f>IF(A251="COMPOSICAO",VLOOKUP("TOTAL - "&amp;B251,COMPOSICAO_AUX_3!$A:$J,10,FALSE),VLOOKUP(B251,I!$A:$D,4,FALSE))</f>
        <v>537.70000000000005</v>
      </c>
      <c r="J251" s="80">
        <f>TRUNC(H251*I251,2)</f>
        <v>10.75</v>
      </c>
      <c r="K251" s="81"/>
    </row>
    <row r="252" spans="1:13" ht="15" customHeight="1" x14ac:dyDescent="0.25">
      <c r="A252" s="16" t="s">
        <v>302</v>
      </c>
      <c r="B252" s="16" t="s">
        <v>319</v>
      </c>
      <c r="C252" s="77" t="str">
        <f>VLOOKUP(B252,IF(A252="COMPOSICAO",S!$A:$D,I!$A:$D),2,FALSE)</f>
        <v>ENCARGOS COMPLEMENTARES - SERVENTE</v>
      </c>
      <c r="D252" s="77"/>
      <c r="E252" s="77"/>
      <c r="F252" s="77"/>
      <c r="G252" s="16" t="str">
        <f>VLOOKUP(B252,IF(A252="COMPOSICAO",S!$A:$D,I!$A:$D),3,FALSE)</f>
        <v>H</v>
      </c>
      <c r="H252" s="17">
        <v>0.6</v>
      </c>
      <c r="I252" s="17">
        <f>IF(A252="COMPOSICAO",VLOOKUP("TOTAL - "&amp;B252,COMPOSICAO_AUX_3!$A:$J,10,FALSE),VLOOKUP(B252,I!$A:$D,4,FALSE))</f>
        <v>2.9100000000000006</v>
      </c>
      <c r="J252" s="80">
        <f>TRUNC(H252*I252,2)</f>
        <v>1.74</v>
      </c>
      <c r="K252" s="81"/>
    </row>
    <row r="253" spans="1:13" ht="15" customHeight="1" x14ac:dyDescent="0.25">
      <c r="A253" s="16" t="s">
        <v>302</v>
      </c>
      <c r="B253" s="16" t="s">
        <v>383</v>
      </c>
      <c r="C253" s="77" t="str">
        <f>VLOOKUP(B253,IF(A253="COMPOSICAO",S!$A:$D,I!$A:$D),2,FALSE)</f>
        <v>ENCARGOS COMPLEMENTARES - PEDREIRO</v>
      </c>
      <c r="D253" s="77"/>
      <c r="E253" s="77"/>
      <c r="F253" s="77"/>
      <c r="G253" s="16" t="str">
        <f>VLOOKUP(B253,IF(A253="COMPOSICAO",S!$A:$D,I!$A:$D),3,FALSE)</f>
        <v>H</v>
      </c>
      <c r="H253" s="17">
        <v>0.6</v>
      </c>
      <c r="I253" s="17">
        <f>IF(A253="COMPOSICAO",VLOOKUP("TOTAL - "&amp;B253,COMPOSICAO_AUX_3!$A:$J,10,FALSE),VLOOKUP(B253,I!$A:$D,4,FALSE))</f>
        <v>2.8000000000000003</v>
      </c>
      <c r="J253" s="80">
        <f>TRUNC(H253*I253,2)</f>
        <v>1.68</v>
      </c>
      <c r="K253" s="81"/>
    </row>
    <row r="254" spans="1:13" ht="15" customHeight="1" x14ac:dyDescent="0.25">
      <c r="A254" s="23" t="s">
        <v>747</v>
      </c>
      <c r="B254" s="24"/>
      <c r="C254" s="24"/>
      <c r="D254" s="24"/>
      <c r="E254" s="24"/>
      <c r="F254" s="24"/>
      <c r="G254" s="25"/>
      <c r="H254" s="26"/>
      <c r="I254" s="27"/>
      <c r="J254" s="80">
        <f>SUM(J248:K253)</f>
        <v>29.479999999999997</v>
      </c>
      <c r="K254" s="81"/>
    </row>
    <row r="255" spans="1:13" ht="15" customHeight="1" x14ac:dyDescent="0.25">
      <c r="A255" s="3"/>
      <c r="B255" s="3"/>
      <c r="C255" s="3"/>
      <c r="D255" s="3"/>
      <c r="E255" s="3"/>
      <c r="F255" s="3"/>
      <c r="G255" s="3"/>
      <c r="H255" s="3"/>
      <c r="I255" s="3"/>
      <c r="J255" s="3"/>
      <c r="K255" s="3"/>
    </row>
    <row r="256" spans="1:13" ht="15" customHeight="1" x14ac:dyDescent="0.25">
      <c r="A256" s="10" t="s">
        <v>295</v>
      </c>
      <c r="B256" s="10" t="s">
        <v>31</v>
      </c>
      <c r="C256" s="82" t="s">
        <v>7</v>
      </c>
      <c r="D256" s="83"/>
      <c r="E256" s="83"/>
      <c r="F256" s="83"/>
      <c r="G256" s="6" t="s">
        <v>32</v>
      </c>
      <c r="H256" s="6" t="s">
        <v>296</v>
      </c>
      <c r="I256" s="6" t="s">
        <v>297</v>
      </c>
      <c r="J256" s="57" t="s">
        <v>9</v>
      </c>
      <c r="K256" s="58"/>
    </row>
    <row r="257" spans="1:13" ht="30" customHeight="1" x14ac:dyDescent="0.25">
      <c r="A257" s="6" t="s">
        <v>11</v>
      </c>
      <c r="B257" s="6" t="s">
        <v>433</v>
      </c>
      <c r="C257" s="91" t="str">
        <f>VLOOKUP(B257,S!$A:$D,2,FALSE)</f>
        <v>CONCRETO SIMPLES FABRICADO NA OBRA, FCK=13,5 MPA, LANÇADO E ADENSADO</v>
      </c>
      <c r="D257" s="91"/>
      <c r="E257" s="91"/>
      <c r="F257" s="92"/>
      <c r="G257" s="6" t="str">
        <f>VLOOKUP(B257,S!$A:$D,3,FALSE)</f>
        <v>M3</v>
      </c>
      <c r="H257" s="21"/>
      <c r="I257" s="21">
        <f>J260</f>
        <v>424.89</v>
      </c>
      <c r="J257" s="76"/>
      <c r="K257" s="72"/>
      <c r="L257" s="21">
        <f>VLOOKUP(B257,S!$A:$D,4,FALSE)</f>
        <v>455.67</v>
      </c>
      <c r="M257" s="6" t="str">
        <f>IF(ROUND((L257-I257),2)=0,"OK, confere com a tabela.",IF(ROUND((L257-I257),2)&lt;0,"ACIMA ("&amp;TEXT(ROUND(I257*100/L257,4),"0,0000")&amp;" %) da tabela.","ABAIXO ("&amp;TEXT(ROUND(I257*100/L257,4),"0,0000")&amp;" %) da tabela."))</f>
        <v>ABAIXO (93,2451 %) da tabela.</v>
      </c>
    </row>
    <row r="258" spans="1:13" ht="30" customHeight="1" x14ac:dyDescent="0.25">
      <c r="A258" s="16" t="s">
        <v>302</v>
      </c>
      <c r="B258" s="16" t="s">
        <v>668</v>
      </c>
      <c r="C258" s="77" t="str">
        <f>VLOOKUP(B258,IF(A258="COMPOSICAO",S!$A:$D,I!$A:$D),2,FALSE)</f>
        <v>CONCRETO SIMPLES FABRICADO NA OBRA, FCK=13,5 MPA (B1/B2), SEM LANÇAMENTO E ADENSAMENTO</v>
      </c>
      <c r="D258" s="77"/>
      <c r="E258" s="77"/>
      <c r="F258" s="77"/>
      <c r="G258" s="16" t="str">
        <f>VLOOKUP(B258,IF(A258="COMPOSICAO",S!$A:$D,I!$A:$D),3,FALSE)</f>
        <v>M3</v>
      </c>
      <c r="H258" s="17">
        <v>1</v>
      </c>
      <c r="I258" s="17">
        <f>IF(A258="COMPOSICAO",VLOOKUP("TOTAL - "&amp;B258,COMPOSICAO_AUX_3!$A:$J,10,FALSE),VLOOKUP(B258,I!$A:$D,4,FALSE))</f>
        <v>387.07</v>
      </c>
      <c r="J258" s="80">
        <f>TRUNC(H258*I258,2)</f>
        <v>387.07</v>
      </c>
      <c r="K258" s="81"/>
    </row>
    <row r="259" spans="1:13" ht="45" customHeight="1" x14ac:dyDescent="0.25">
      <c r="A259" s="16" t="s">
        <v>302</v>
      </c>
      <c r="B259" s="16" t="s">
        <v>669</v>
      </c>
      <c r="C259" s="77" t="str">
        <f>VLOOKUP(B259,IF(A259="COMPOSICAO",S!$A:$D,I!$A:$D),2,FALSE)</f>
        <v>LANÇAMENTO DE CONCRETO SIMPLES FABRICADO NA OBRA, INCLUSIVE ADENSAMENTO E ACABAMENTO EM PEÇAS DA SUPERESTRUTURA</v>
      </c>
      <c r="D259" s="77"/>
      <c r="E259" s="77"/>
      <c r="F259" s="77"/>
      <c r="G259" s="16" t="str">
        <f>VLOOKUP(B259,IF(A259="COMPOSICAO",S!$A:$D,I!$A:$D),3,FALSE)</f>
        <v>M3</v>
      </c>
      <c r="H259" s="17">
        <v>1</v>
      </c>
      <c r="I259" s="17">
        <f>IF(A259="COMPOSICAO",VLOOKUP("TOTAL - "&amp;B259,COMPOSICAO_AUX_3!$A:$J,10,FALSE),VLOOKUP(B259,I!$A:$D,4,FALSE))</f>
        <v>37.820000000000007</v>
      </c>
      <c r="J259" s="80">
        <f>TRUNC(H259*I259,2)</f>
        <v>37.82</v>
      </c>
      <c r="K259" s="81"/>
    </row>
    <row r="260" spans="1:13" ht="15" customHeight="1" x14ac:dyDescent="0.25">
      <c r="A260" s="23" t="s">
        <v>670</v>
      </c>
      <c r="B260" s="24"/>
      <c r="C260" s="24"/>
      <c r="D260" s="24"/>
      <c r="E260" s="24"/>
      <c r="F260" s="24"/>
      <c r="G260" s="25"/>
      <c r="H260" s="26"/>
      <c r="I260" s="27"/>
      <c r="J260" s="80">
        <f>SUM(J257:K259)</f>
        <v>424.89</v>
      </c>
      <c r="K260" s="81"/>
    </row>
    <row r="261" spans="1:13" ht="15" customHeight="1" x14ac:dyDescent="0.25">
      <c r="A261" s="3"/>
      <c r="B261" s="3"/>
      <c r="C261" s="3"/>
      <c r="D261" s="3"/>
      <c r="E261" s="3"/>
      <c r="F261" s="3"/>
      <c r="G261" s="3"/>
      <c r="H261" s="3"/>
      <c r="I261" s="3"/>
      <c r="J261" s="3"/>
      <c r="K261" s="3"/>
    </row>
    <row r="262" spans="1:13" ht="15" customHeight="1" x14ac:dyDescent="0.25">
      <c r="A262" s="10" t="s">
        <v>295</v>
      </c>
      <c r="B262" s="10" t="s">
        <v>31</v>
      </c>
      <c r="C262" s="82" t="s">
        <v>7</v>
      </c>
      <c r="D262" s="83"/>
      <c r="E262" s="83"/>
      <c r="F262" s="83"/>
      <c r="G262" s="6" t="s">
        <v>32</v>
      </c>
      <c r="H262" s="6" t="s">
        <v>296</v>
      </c>
      <c r="I262" s="6" t="s">
        <v>297</v>
      </c>
      <c r="J262" s="57" t="s">
        <v>9</v>
      </c>
      <c r="K262" s="58"/>
    </row>
    <row r="263" spans="1:13" ht="30" customHeight="1" x14ac:dyDescent="0.25">
      <c r="A263" s="6" t="s">
        <v>502</v>
      </c>
      <c r="B263" s="28">
        <v>95390</v>
      </c>
      <c r="C263" s="91" t="str">
        <f>VLOOKUP(B263,S!$A:$D,2,FALSE)</f>
        <v>CURSO DE CAPACITAÇÃO PARA JARDINEIRO (ENCARGOS COMPLEMENTARES) - HORISTA</v>
      </c>
      <c r="D263" s="91"/>
      <c r="E263" s="91"/>
      <c r="F263" s="92"/>
      <c r="G263" s="6" t="str">
        <f>VLOOKUP(B263,S!$A:$D,3,FALSE)</f>
        <v>H</v>
      </c>
      <c r="H263" s="21"/>
      <c r="I263" s="21">
        <f>J265</f>
        <v>0.05</v>
      </c>
      <c r="J263" s="76"/>
      <c r="K263" s="72"/>
      <c r="L263" s="21">
        <f>VLOOKUP(B263,S!$A:$D,4,FALSE)</f>
        <v>0.05</v>
      </c>
      <c r="M263" s="6" t="str">
        <f>IF(ROUND((L263-I263),2)=0,"OK, confere com a tabela.",IF(ROUND((L263-I263),2)&lt;0,"ACIMA ("&amp;TEXT(ROUND(I263*100/L263,4),"0,0000")&amp;" %) da tabela.","ABAIXO ("&amp;TEXT(ROUND(I263*100/L263,4),"0,0000")&amp;" %) da tabela."))</f>
        <v>OK, confere com a tabela.</v>
      </c>
    </row>
    <row r="264" spans="1:13" ht="15" customHeight="1" x14ac:dyDescent="0.25">
      <c r="A264" s="16" t="s">
        <v>306</v>
      </c>
      <c r="B264" s="20">
        <v>25964</v>
      </c>
      <c r="C264" s="77" t="str">
        <f>VLOOKUP(B264,IF(A264="COMPOSICAO",S!$A:$D,I!$A:$D),2,FALSE)</f>
        <v>JARDINEIRO</v>
      </c>
      <c r="D264" s="77"/>
      <c r="E264" s="77"/>
      <c r="F264" s="77"/>
      <c r="G264" s="16" t="str">
        <f>VLOOKUP(B264,IF(A264="COMPOSICAO",S!$A:$D,I!$A:$D),3,FALSE)</f>
        <v>H</v>
      </c>
      <c r="H264" s="29">
        <v>3.5999999999999999E-3</v>
      </c>
      <c r="I264" s="17">
        <f>IF(A264="COMPOSICAO",VLOOKUP("TOTAL - "&amp;B264,COMPOSICAO_AUX_3!$A:$J,10,FALSE),VLOOKUP(B264,I!$A:$D,4,FALSE))</f>
        <v>14.44</v>
      </c>
      <c r="J264" s="80">
        <f>TRUNC(H264*I264,2)</f>
        <v>0.05</v>
      </c>
      <c r="K264" s="81"/>
    </row>
    <row r="265" spans="1:13" ht="15" customHeight="1" x14ac:dyDescent="0.25">
      <c r="A265" s="23" t="s">
        <v>748</v>
      </c>
      <c r="B265" s="24"/>
      <c r="C265" s="24"/>
      <c r="D265" s="24"/>
      <c r="E265" s="24"/>
      <c r="F265" s="24"/>
      <c r="G265" s="25"/>
      <c r="H265" s="26"/>
      <c r="I265" s="27"/>
      <c r="J265" s="80">
        <f>SUM(J263:K264)</f>
        <v>0.05</v>
      </c>
      <c r="K265" s="81"/>
    </row>
    <row r="266" spans="1:13" ht="15" customHeight="1" x14ac:dyDescent="0.25">
      <c r="A266" s="3"/>
      <c r="B266" s="3"/>
      <c r="C266" s="3"/>
      <c r="D266" s="3"/>
      <c r="E266" s="3"/>
      <c r="F266" s="3"/>
      <c r="G266" s="3"/>
      <c r="H266" s="3"/>
      <c r="I266" s="3"/>
      <c r="J266" s="3"/>
      <c r="K266" s="3"/>
    </row>
    <row r="267" spans="1:13" ht="15" customHeight="1" x14ac:dyDescent="0.25">
      <c r="A267" s="10" t="s">
        <v>295</v>
      </c>
      <c r="B267" s="10" t="s">
        <v>31</v>
      </c>
      <c r="C267" s="82" t="s">
        <v>7</v>
      </c>
      <c r="D267" s="83"/>
      <c r="E267" s="83"/>
      <c r="F267" s="83"/>
      <c r="G267" s="6" t="s">
        <v>32</v>
      </c>
      <c r="H267" s="6" t="s">
        <v>296</v>
      </c>
      <c r="I267" s="6" t="s">
        <v>297</v>
      </c>
      <c r="J267" s="57" t="s">
        <v>9</v>
      </c>
      <c r="K267" s="58"/>
    </row>
    <row r="268" spans="1:13" ht="30" customHeight="1" x14ac:dyDescent="0.25">
      <c r="A268" s="6" t="s">
        <v>502</v>
      </c>
      <c r="B268" s="28">
        <v>95371</v>
      </c>
      <c r="C268" s="91" t="str">
        <f>VLOOKUP(B268,S!$A:$D,2,FALSE)</f>
        <v>CURSO DE CAPACITAÇÃO PARA PEDREIRO (ENCARGOS COMPLEMENTARES) - HORISTA</v>
      </c>
      <c r="D268" s="91"/>
      <c r="E268" s="91"/>
      <c r="F268" s="92"/>
      <c r="G268" s="6" t="str">
        <f>VLOOKUP(B268,S!$A:$D,3,FALSE)</f>
        <v>H</v>
      </c>
      <c r="H268" s="21"/>
      <c r="I268" s="21">
        <f>J270</f>
        <v>0.22</v>
      </c>
      <c r="J268" s="76"/>
      <c r="K268" s="72"/>
      <c r="L268" s="21">
        <f>VLOOKUP(B268,S!$A:$D,4,FALSE)</f>
        <v>0.22</v>
      </c>
      <c r="M268" s="6" t="str">
        <f>IF(ROUND((L268-I268),2)=0,"OK, confere com a tabela.",IF(ROUND((L268-I268),2)&lt;0,"ACIMA ("&amp;TEXT(ROUND(I268*100/L268,4),"0,0000")&amp;" %) da tabela.","ABAIXO ("&amp;TEXT(ROUND(I268*100/L268,4),"0,0000")&amp;" %) da tabela."))</f>
        <v>OK, confere com a tabela.</v>
      </c>
    </row>
    <row r="269" spans="1:13" ht="15" customHeight="1" x14ac:dyDescent="0.25">
      <c r="A269" s="16" t="s">
        <v>306</v>
      </c>
      <c r="B269" s="20">
        <v>4750</v>
      </c>
      <c r="C269" s="77" t="str">
        <f>VLOOKUP(B269,IF(A269="COMPOSICAO",S!$A:$D,I!$A:$D),2,FALSE)</f>
        <v>PEDREIRO</v>
      </c>
      <c r="D269" s="77"/>
      <c r="E269" s="77"/>
      <c r="F269" s="77"/>
      <c r="G269" s="16" t="str">
        <f>VLOOKUP(B269,IF(A269="COMPOSICAO",S!$A:$D,I!$A:$D),3,FALSE)</f>
        <v>H</v>
      </c>
      <c r="H269" s="29">
        <v>1.5100000000000001E-2</v>
      </c>
      <c r="I269" s="17">
        <f>IF(A269="COMPOSICAO",VLOOKUP("TOTAL - "&amp;B269,COMPOSICAO_AUX_3!$A:$J,10,FALSE),VLOOKUP(B269,I!$A:$D,4,FALSE))</f>
        <v>14.93</v>
      </c>
      <c r="J269" s="80">
        <f>TRUNC(H269*I269,2)</f>
        <v>0.22</v>
      </c>
      <c r="K269" s="81"/>
    </row>
    <row r="270" spans="1:13" ht="15" customHeight="1" x14ac:dyDescent="0.25">
      <c r="A270" s="23" t="s">
        <v>749</v>
      </c>
      <c r="B270" s="24"/>
      <c r="C270" s="24"/>
      <c r="D270" s="24"/>
      <c r="E270" s="24"/>
      <c r="F270" s="24"/>
      <c r="G270" s="25"/>
      <c r="H270" s="26"/>
      <c r="I270" s="27"/>
      <c r="J270" s="80">
        <f>SUM(J268:K269)</f>
        <v>0.22</v>
      </c>
      <c r="K270" s="81"/>
    </row>
    <row r="271" spans="1:13" ht="15" customHeight="1" x14ac:dyDescent="0.25">
      <c r="A271" s="3"/>
      <c r="B271" s="3"/>
      <c r="C271" s="3"/>
      <c r="D271" s="3"/>
      <c r="E271" s="3"/>
      <c r="F271" s="3"/>
      <c r="G271" s="3"/>
      <c r="H271" s="3"/>
      <c r="I271" s="3"/>
      <c r="J271" s="3"/>
      <c r="K271" s="3"/>
    </row>
    <row r="272" spans="1:13" ht="15" customHeight="1" x14ac:dyDescent="0.25">
      <c r="A272" s="10" t="s">
        <v>295</v>
      </c>
      <c r="B272" s="10" t="s">
        <v>31</v>
      </c>
      <c r="C272" s="82" t="s">
        <v>7</v>
      </c>
      <c r="D272" s="83"/>
      <c r="E272" s="83"/>
      <c r="F272" s="83"/>
      <c r="G272" s="6" t="s">
        <v>32</v>
      </c>
      <c r="H272" s="6" t="s">
        <v>296</v>
      </c>
      <c r="I272" s="6" t="s">
        <v>297</v>
      </c>
      <c r="J272" s="57" t="s">
        <v>9</v>
      </c>
      <c r="K272" s="58"/>
    </row>
    <row r="273" spans="1:13" ht="75" customHeight="1" x14ac:dyDescent="0.25">
      <c r="A273" s="6" t="s">
        <v>572</v>
      </c>
      <c r="B273" s="28">
        <v>5763</v>
      </c>
      <c r="C273" s="91" t="str">
        <f>VLOOKUP(B273,S!$A:$D,2,FALSE)</f>
        <v>CAMINHÃO PIPA 10.000 L TRUCADO, PESO BRUTO TOTAL 23.000 KG, CARGA ÚTIL MÁXIMA 15.935 KG, DISTÂNCIA ENTRE EIXOS 4,8 M, POTÊNCIA 230 CV, INCLUSIVE TANQUE DE AÇO PARA TRANSPORTE DE ÁGUA - MANUTENÇÃO. AF_06/2014</v>
      </c>
      <c r="D273" s="91"/>
      <c r="E273" s="91"/>
      <c r="F273" s="92"/>
      <c r="G273" s="6" t="str">
        <f>VLOOKUP(B273,S!$A:$D,3,FALSE)</f>
        <v>H</v>
      </c>
      <c r="H273" s="21"/>
      <c r="I273" s="21">
        <f>J276</f>
        <v>30.55</v>
      </c>
      <c r="J273" s="76"/>
      <c r="K273" s="72"/>
      <c r="L273" s="21">
        <f>VLOOKUP(B273,S!$A:$D,4,FALSE)</f>
        <v>30.55</v>
      </c>
      <c r="M273" s="6" t="str">
        <f>IF(ROUND((L273-I273),2)=0,"OK, confere com a tabela.",IF(ROUND((L273-I273),2)&lt;0,"ACIMA ("&amp;TEXT(ROUND(I273*100/L273,4),"0,0000")&amp;" %) da tabela.","ABAIXO ("&amp;TEXT(ROUND(I273*100/L273,4),"0,0000")&amp;" %) da tabela."))</f>
        <v>OK, confere com a tabela.</v>
      </c>
    </row>
    <row r="274" spans="1:13" ht="75" customHeight="1" x14ac:dyDescent="0.25">
      <c r="A274" s="16" t="s">
        <v>306</v>
      </c>
      <c r="B274" s="20">
        <v>37736</v>
      </c>
      <c r="C274" s="77" t="str">
        <f>VLOOKUP(B274,IF(A274="COMPOSICAO",S!$A:$D,I!$A:$D),2,FALSE)</f>
        <v>TANQUE DE ACO CARBONO NAO REVESTIDO, PARA TRANSPORTE DE AGUA COM CAPACIDADE DE 10 M3, COM BOMBA CENTRIFUGA POR TOMADA DE FORCA, VAZAO MAXIMA *75* M3/H (INCLUI MONTAGEM, NAO INCLUI CAMINHAO)</v>
      </c>
      <c r="D274" s="77"/>
      <c r="E274" s="77"/>
      <c r="F274" s="77"/>
      <c r="G274" s="16" t="str">
        <f>VLOOKUP(B274,IF(A274="COMPOSICAO",S!$A:$D,I!$A:$D),3,FALSE)</f>
        <v>UN</v>
      </c>
      <c r="H274" s="31">
        <v>6.4300000000000004E-5</v>
      </c>
      <c r="I274" s="17">
        <f>IF(A274="COMPOSICAO",VLOOKUP("TOTAL - "&amp;B274,COMPOSICAO_AUX_3!$A:$J,10,FALSE),VLOOKUP(B274,I!$A:$D,4,FALSE))</f>
        <v>78450</v>
      </c>
      <c r="J274" s="80">
        <f>TRUNC(H274*I274,2)</f>
        <v>5.04</v>
      </c>
      <c r="K274" s="81"/>
    </row>
    <row r="275" spans="1:13" ht="60" customHeight="1" x14ac:dyDescent="0.25">
      <c r="A275" s="16" t="s">
        <v>306</v>
      </c>
      <c r="B275" s="20">
        <v>37747</v>
      </c>
      <c r="C275" s="77" t="str">
        <f>VLOOKUP(B275,IF(A275="COMPOSICAO",S!$A:$D,I!$A:$D),2,FALSE)</f>
        <v>CAMINHAO TRUCADO, PESO BRUTO TOTAL 23000 KG, CARGA UTIL MAXIMA 15935 KG, DISTANCIA ENTRE EIXOS 4,80 M, POTENCIA 230 CV (INCLUI CABINE E CHASSI, NAO INCLUI CARROCERIA)</v>
      </c>
      <c r="D275" s="77"/>
      <c r="E275" s="77"/>
      <c r="F275" s="77"/>
      <c r="G275" s="16" t="str">
        <f>VLOOKUP(B275,IF(A275="COMPOSICAO",S!$A:$D,I!$A:$D),3,FALSE)</f>
        <v>UN</v>
      </c>
      <c r="H275" s="31">
        <v>6.4300000000000004E-5</v>
      </c>
      <c r="I275" s="17">
        <f>IF(A275="COMPOSICAO",VLOOKUP("TOTAL - "&amp;B275,COMPOSICAO_AUX_3!$A:$J,10,FALSE),VLOOKUP(B275,I!$A:$D,4,FALSE))</f>
        <v>396848.38</v>
      </c>
      <c r="J275" s="80">
        <f>TRUNC(H275*I275,2)</f>
        <v>25.51</v>
      </c>
      <c r="K275" s="81"/>
    </row>
    <row r="276" spans="1:13" ht="15" customHeight="1" x14ac:dyDescent="0.25">
      <c r="A276" s="23" t="s">
        <v>750</v>
      </c>
      <c r="B276" s="24"/>
      <c r="C276" s="24"/>
      <c r="D276" s="24"/>
      <c r="E276" s="24"/>
      <c r="F276" s="24"/>
      <c r="G276" s="25"/>
      <c r="H276" s="26"/>
      <c r="I276" s="27"/>
      <c r="J276" s="80">
        <f>SUM(J273:K275)</f>
        <v>30.55</v>
      </c>
      <c r="K276" s="81"/>
    </row>
    <row r="277" spans="1:13" ht="15" customHeight="1" x14ac:dyDescent="0.25">
      <c r="A277" s="3"/>
      <c r="B277" s="3"/>
      <c r="C277" s="3"/>
      <c r="D277" s="3"/>
      <c r="E277" s="3"/>
      <c r="F277" s="3"/>
      <c r="G277" s="3"/>
      <c r="H277" s="3"/>
      <c r="I277" s="3"/>
      <c r="J277" s="3"/>
      <c r="K277" s="3"/>
    </row>
    <row r="278" spans="1:13" ht="15" customHeight="1" x14ac:dyDescent="0.25">
      <c r="A278" s="10" t="s">
        <v>295</v>
      </c>
      <c r="B278" s="10" t="s">
        <v>31</v>
      </c>
      <c r="C278" s="82" t="s">
        <v>7</v>
      </c>
      <c r="D278" s="83"/>
      <c r="E278" s="83"/>
      <c r="F278" s="83"/>
      <c r="G278" s="6" t="s">
        <v>32</v>
      </c>
      <c r="H278" s="6" t="s">
        <v>296</v>
      </c>
      <c r="I278" s="6" t="s">
        <v>297</v>
      </c>
      <c r="J278" s="57" t="s">
        <v>9</v>
      </c>
      <c r="K278" s="58"/>
    </row>
    <row r="279" spans="1:13" ht="90" customHeight="1" x14ac:dyDescent="0.25">
      <c r="A279" s="6" t="s">
        <v>572</v>
      </c>
      <c r="B279" s="28">
        <v>53831</v>
      </c>
      <c r="C279" s="91" t="str">
        <f>VLOOKUP(B279,S!$A:$D,2,FALSE)</f>
        <v>CAMINHÃO PIPA 10.000 L TRUCADO, PESO BRUTO TOTAL 23.000 KG, CARGA ÚTIL MÁXIMA 15.935 KG, DISTÂNCIA ENTRE EIXOS 4,8 M, POTÊNCIA 230 CV, INCLUSIVE TANQUE DE AÇO PARA TRANSPORTE DE ÁGUA - MATERIAIS NA OPERAÇÃO. AF_06/2014</v>
      </c>
      <c r="D279" s="91"/>
      <c r="E279" s="91"/>
      <c r="F279" s="92"/>
      <c r="G279" s="6" t="str">
        <f>VLOOKUP(B279,S!$A:$D,3,FALSE)</f>
        <v>H</v>
      </c>
      <c r="H279" s="21"/>
      <c r="I279" s="21">
        <f>J281</f>
        <v>150.83000000000001</v>
      </c>
      <c r="J279" s="76"/>
      <c r="K279" s="72"/>
      <c r="L279" s="21">
        <f>VLOOKUP(B279,S!$A:$D,4,FALSE)</f>
        <v>150.83000000000001</v>
      </c>
      <c r="M279" s="6" t="str">
        <f>IF(ROUND((L279-I279),2)=0,"OK, confere com a tabela.",IF(ROUND((L279-I279),2)&lt;0,"ACIMA ("&amp;TEXT(ROUND(I279*100/L279,4),"0,0000")&amp;" %) da tabela.","ABAIXO ("&amp;TEXT(ROUND(I279*100/L279,4),"0,0000")&amp;" %) da tabela."))</f>
        <v>OK, confere com a tabela.</v>
      </c>
    </row>
    <row r="280" spans="1:13" ht="15" customHeight="1" x14ac:dyDescent="0.25">
      <c r="A280" s="16" t="s">
        <v>306</v>
      </c>
      <c r="B280" s="20">
        <v>4221</v>
      </c>
      <c r="C280" s="77" t="str">
        <f>VLOOKUP(B280,IF(A280="COMPOSICAO",S!$A:$D,I!$A:$D),2,FALSE)</f>
        <v>OLEO DIESEL COMBUSTIVEL COMUM</v>
      </c>
      <c r="D280" s="77"/>
      <c r="E280" s="77"/>
      <c r="F280" s="77"/>
      <c r="G280" s="16" t="str">
        <f>VLOOKUP(B280,IF(A280="COMPOSICAO",S!$A:$D,I!$A:$D),3,FALSE)</f>
        <v>L</v>
      </c>
      <c r="H280" s="17">
        <v>32.159999999999997</v>
      </c>
      <c r="I280" s="17">
        <f>IF(A280="COMPOSICAO",VLOOKUP("TOTAL - "&amp;B280,COMPOSICAO_AUX_3!$A:$J,10,FALSE),VLOOKUP(B280,I!$A:$D,4,FALSE))</f>
        <v>4.6900000000000004</v>
      </c>
      <c r="J280" s="80">
        <f>TRUNC(H280*I280,2)</f>
        <v>150.83000000000001</v>
      </c>
      <c r="K280" s="81"/>
    </row>
    <row r="281" spans="1:13" ht="15" customHeight="1" x14ac:dyDescent="0.25">
      <c r="A281" s="23" t="s">
        <v>751</v>
      </c>
      <c r="B281" s="24"/>
      <c r="C281" s="24"/>
      <c r="D281" s="24"/>
      <c r="E281" s="24"/>
      <c r="F281" s="24"/>
      <c r="G281" s="25"/>
      <c r="H281" s="26"/>
      <c r="I281" s="27"/>
      <c r="J281" s="80">
        <f>SUM(J279:K280)</f>
        <v>150.83000000000001</v>
      </c>
      <c r="K281" s="81"/>
    </row>
    <row r="282" spans="1:13" ht="15" customHeight="1" x14ac:dyDescent="0.25">
      <c r="A282" s="3"/>
      <c r="B282" s="3"/>
      <c r="C282" s="3"/>
      <c r="D282" s="3"/>
      <c r="E282" s="3"/>
      <c r="F282" s="3"/>
      <c r="G282" s="3"/>
      <c r="H282" s="3"/>
      <c r="I282" s="3"/>
      <c r="J282" s="3"/>
      <c r="K282" s="3"/>
    </row>
    <row r="283" spans="1:13" ht="15" customHeight="1" x14ac:dyDescent="0.25">
      <c r="A283" s="10" t="s">
        <v>295</v>
      </c>
      <c r="B283" s="10" t="s">
        <v>31</v>
      </c>
      <c r="C283" s="82" t="s">
        <v>7</v>
      </c>
      <c r="D283" s="83"/>
      <c r="E283" s="83"/>
      <c r="F283" s="83"/>
      <c r="G283" s="6" t="s">
        <v>32</v>
      </c>
      <c r="H283" s="6" t="s">
        <v>296</v>
      </c>
      <c r="I283" s="6" t="s">
        <v>297</v>
      </c>
      <c r="J283" s="57" t="s">
        <v>9</v>
      </c>
      <c r="K283" s="58"/>
    </row>
    <row r="284" spans="1:13" ht="30" customHeight="1" x14ac:dyDescent="0.25">
      <c r="A284" s="6" t="s">
        <v>502</v>
      </c>
      <c r="B284" s="28">
        <v>88282</v>
      </c>
      <c r="C284" s="91" t="str">
        <f>VLOOKUP(B284,S!$A:$D,2,FALSE)</f>
        <v>MOTORISTA DE CAMINHÃO COM ENCARGOS COMPLEMENTARES</v>
      </c>
      <c r="D284" s="91"/>
      <c r="E284" s="91"/>
      <c r="F284" s="92"/>
      <c r="G284" s="6" t="str">
        <f>VLOOKUP(B284,S!$A:$D,3,FALSE)</f>
        <v>H</v>
      </c>
      <c r="H284" s="21"/>
      <c r="I284" s="21">
        <f>J293</f>
        <v>22.15</v>
      </c>
      <c r="J284" s="76"/>
      <c r="K284" s="72"/>
      <c r="L284" s="21">
        <f>VLOOKUP(B284,S!$A:$D,4,FALSE)</f>
        <v>22.15</v>
      </c>
      <c r="M284" s="6" t="str">
        <f>IF(ROUND((L284-I284),2)=0,"OK, confere com a tabela.",IF(ROUND((L284-I284),2)&lt;0,"ACIMA ("&amp;TEXT(ROUND(I284*100/L284,4),"0,0000")&amp;" %) da tabela.","ABAIXO ("&amp;TEXT(ROUND(I284*100/L284,4),"0,0000")&amp;" %) da tabela."))</f>
        <v>OK, confere com a tabela.</v>
      </c>
    </row>
    <row r="285" spans="1:13" ht="15" customHeight="1" x14ac:dyDescent="0.25">
      <c r="A285" s="16" t="s">
        <v>306</v>
      </c>
      <c r="B285" s="20">
        <v>4093</v>
      </c>
      <c r="C285" s="77" t="str">
        <f>VLOOKUP(B285,IF(A285="COMPOSICAO",S!$A:$D,I!$A:$D),2,FALSE)</f>
        <v>MOTORISTA DE CAMINHAO</v>
      </c>
      <c r="D285" s="77"/>
      <c r="E285" s="77"/>
      <c r="F285" s="77"/>
      <c r="G285" s="16" t="str">
        <f>VLOOKUP(B285,IF(A285="COMPOSICAO",S!$A:$D,I!$A:$D),3,FALSE)</f>
        <v>H</v>
      </c>
      <c r="H285" s="17">
        <v>1</v>
      </c>
      <c r="I285" s="17">
        <f>IF(A285="COMPOSICAO",VLOOKUP("TOTAL - "&amp;B285,COMPOSICAO_AUX_3!$A:$J,10,FALSE),VLOOKUP(B285,I!$A:$D,4,FALSE))</f>
        <v>18.28</v>
      </c>
      <c r="J285" s="80">
        <f t="shared" ref="J285:J292" si="10">TRUNC(H285*I285,2)</f>
        <v>18.28</v>
      </c>
      <c r="K285" s="81"/>
    </row>
    <row r="286" spans="1:13" ht="15" customHeight="1" x14ac:dyDescent="0.25">
      <c r="A286" s="16" t="s">
        <v>306</v>
      </c>
      <c r="B286" s="20">
        <v>37370</v>
      </c>
      <c r="C286" s="77" t="str">
        <f>VLOOKUP(B286,IF(A286="COMPOSICAO",S!$A:$D,I!$A:$D),2,FALSE)</f>
        <v>ALIMENTACAO - HORISTA (COLETADO CAIXA)</v>
      </c>
      <c r="D286" s="77"/>
      <c r="E286" s="77"/>
      <c r="F286" s="77"/>
      <c r="G286" s="16" t="str">
        <f>VLOOKUP(B286,IF(A286="COMPOSICAO",S!$A:$D,I!$A:$D),3,FALSE)</f>
        <v>H</v>
      </c>
      <c r="H286" s="17">
        <v>1</v>
      </c>
      <c r="I286" s="17">
        <f>IF(A286="COMPOSICAO",VLOOKUP("TOTAL - "&amp;B286,COMPOSICAO_AUX_3!$A:$J,10,FALSE),VLOOKUP(B286,I!$A:$D,4,FALSE))</f>
        <v>1.86</v>
      </c>
      <c r="J286" s="80">
        <f t="shared" si="10"/>
        <v>1.86</v>
      </c>
      <c r="K286" s="81"/>
    </row>
    <row r="287" spans="1:13" ht="15" customHeight="1" x14ac:dyDescent="0.25">
      <c r="A287" s="16" t="s">
        <v>306</v>
      </c>
      <c r="B287" s="20">
        <v>37371</v>
      </c>
      <c r="C287" s="77" t="str">
        <f>VLOOKUP(B287,IF(A287="COMPOSICAO",S!$A:$D,I!$A:$D),2,FALSE)</f>
        <v>TRANSPORTE - HORISTA (COLETADO CAIXA)</v>
      </c>
      <c r="D287" s="77"/>
      <c r="E287" s="77"/>
      <c r="F287" s="77"/>
      <c r="G287" s="16" t="str">
        <f>VLOOKUP(B287,IF(A287="COMPOSICAO",S!$A:$D,I!$A:$D),3,FALSE)</f>
        <v>H</v>
      </c>
      <c r="H287" s="17">
        <v>1</v>
      </c>
      <c r="I287" s="17">
        <f>IF(A287="COMPOSICAO",VLOOKUP("TOTAL - "&amp;B287,COMPOSICAO_AUX_3!$A:$J,10,FALSE),VLOOKUP(B287,I!$A:$D,4,FALSE))</f>
        <v>0.7</v>
      </c>
      <c r="J287" s="80">
        <f t="shared" si="10"/>
        <v>0.7</v>
      </c>
      <c r="K287" s="81"/>
    </row>
    <row r="288" spans="1:13" ht="15" customHeight="1" x14ac:dyDescent="0.25">
      <c r="A288" s="16" t="s">
        <v>306</v>
      </c>
      <c r="B288" s="20">
        <v>37372</v>
      </c>
      <c r="C288" s="77" t="str">
        <f>VLOOKUP(B288,IF(A288="COMPOSICAO",S!$A:$D,I!$A:$D),2,FALSE)</f>
        <v>EXAMES - HORISTA (COLETADO CAIXA)</v>
      </c>
      <c r="D288" s="77"/>
      <c r="E288" s="77"/>
      <c r="F288" s="77"/>
      <c r="G288" s="16" t="str">
        <f>VLOOKUP(B288,IF(A288="COMPOSICAO",S!$A:$D,I!$A:$D),3,FALSE)</f>
        <v>H</v>
      </c>
      <c r="H288" s="17">
        <v>1</v>
      </c>
      <c r="I288" s="17">
        <f>IF(A288="COMPOSICAO",VLOOKUP("TOTAL - "&amp;B288,COMPOSICAO_AUX_3!$A:$J,10,FALSE),VLOOKUP(B288,I!$A:$D,4,FALSE))</f>
        <v>0.55000000000000004</v>
      </c>
      <c r="J288" s="80">
        <f t="shared" si="10"/>
        <v>0.55000000000000004</v>
      </c>
      <c r="K288" s="81"/>
    </row>
    <row r="289" spans="1:13" ht="15" customHeight="1" x14ac:dyDescent="0.25">
      <c r="A289" s="16" t="s">
        <v>306</v>
      </c>
      <c r="B289" s="20">
        <v>37373</v>
      </c>
      <c r="C289" s="77" t="str">
        <f>VLOOKUP(B289,IF(A289="COMPOSICAO",S!$A:$D,I!$A:$D),2,FALSE)</f>
        <v>SEGURO - HORISTA (COLETADO CAIXA)</v>
      </c>
      <c r="D289" s="77"/>
      <c r="E289" s="77"/>
      <c r="F289" s="77"/>
      <c r="G289" s="16" t="str">
        <f>VLOOKUP(B289,IF(A289="COMPOSICAO",S!$A:$D,I!$A:$D),3,FALSE)</f>
        <v>H</v>
      </c>
      <c r="H289" s="17">
        <v>1</v>
      </c>
      <c r="I289" s="17">
        <f>IF(A289="COMPOSICAO",VLOOKUP("TOTAL - "&amp;B289,COMPOSICAO_AUX_3!$A:$J,10,FALSE),VLOOKUP(B289,I!$A:$D,4,FALSE))</f>
        <v>0.06</v>
      </c>
      <c r="J289" s="80">
        <f t="shared" si="10"/>
        <v>0.06</v>
      </c>
      <c r="K289" s="81"/>
    </row>
    <row r="290" spans="1:13" ht="45" customHeight="1" x14ac:dyDescent="0.25">
      <c r="A290" s="16" t="s">
        <v>306</v>
      </c>
      <c r="B290" s="20">
        <v>43464</v>
      </c>
      <c r="C290" s="77" t="str">
        <f>VLOOKUP(B290,IF(A290="COMPOSICAO",S!$A:$D,I!$A:$D),2,FALSE)</f>
        <v>FERRAMENTAS - FAMILIA OPERADOR ESCAVADEIRA - HORISTA (ENCARGOS COMPLEMENTARES - COLETADO CAIXA)</v>
      </c>
      <c r="D290" s="77"/>
      <c r="E290" s="77"/>
      <c r="F290" s="77"/>
      <c r="G290" s="16" t="str">
        <f>VLOOKUP(B290,IF(A290="COMPOSICAO",S!$A:$D,I!$A:$D),3,FALSE)</f>
        <v>H</v>
      </c>
      <c r="H290" s="17">
        <v>1</v>
      </c>
      <c r="I290" s="17">
        <f>IF(A290="COMPOSICAO",VLOOKUP("TOTAL - "&amp;B290,COMPOSICAO_AUX_3!$A:$J,10,FALSE),VLOOKUP(B290,I!$A:$D,4,FALSE))</f>
        <v>0.01</v>
      </c>
      <c r="J290" s="80">
        <f t="shared" si="10"/>
        <v>0.01</v>
      </c>
      <c r="K290" s="81"/>
    </row>
    <row r="291" spans="1:13" ht="30" customHeight="1" x14ac:dyDescent="0.25">
      <c r="A291" s="16" t="s">
        <v>306</v>
      </c>
      <c r="B291" s="20">
        <v>43488</v>
      </c>
      <c r="C291" s="77" t="str">
        <f>VLOOKUP(B291,IF(A291="COMPOSICAO",S!$A:$D,I!$A:$D),2,FALSE)</f>
        <v>EPI - FAMILIA OPERADOR ESCAVADEIRA - HORISTA (ENCARGOS COMPLEMENTARES - COLETADO CAIXA)</v>
      </c>
      <c r="D291" s="77"/>
      <c r="E291" s="77"/>
      <c r="F291" s="77"/>
      <c r="G291" s="16" t="str">
        <f>VLOOKUP(B291,IF(A291="COMPOSICAO",S!$A:$D,I!$A:$D),3,FALSE)</f>
        <v>H</v>
      </c>
      <c r="H291" s="17">
        <v>1</v>
      </c>
      <c r="I291" s="17">
        <f>IF(A291="COMPOSICAO",VLOOKUP("TOTAL - "&amp;B291,COMPOSICAO_AUX_3!$A:$J,10,FALSE),VLOOKUP(B291,I!$A:$D,4,FALSE))</f>
        <v>0.63</v>
      </c>
      <c r="J291" s="80">
        <f t="shared" si="10"/>
        <v>0.63</v>
      </c>
      <c r="K291" s="81"/>
    </row>
    <row r="292" spans="1:13" ht="30" customHeight="1" x14ac:dyDescent="0.25">
      <c r="A292" s="16" t="s">
        <v>302</v>
      </c>
      <c r="B292" s="20">
        <v>95347</v>
      </c>
      <c r="C292" s="77" t="str">
        <f>VLOOKUP(B292,IF(A292="COMPOSICAO",S!$A:$D,I!$A:$D),2,FALSE)</f>
        <v>CURSO DE CAPACITAÇÃO PARA MOTORISTA DE CAMINHÃO (ENCARGOS COMPLEMENTARES) - HORISTA</v>
      </c>
      <c r="D292" s="77"/>
      <c r="E292" s="77"/>
      <c r="F292" s="77"/>
      <c r="G292" s="16" t="str">
        <f>VLOOKUP(B292,IF(A292="COMPOSICAO",S!$A:$D,I!$A:$D),3,FALSE)</f>
        <v>H</v>
      </c>
      <c r="H292" s="17">
        <v>1</v>
      </c>
      <c r="I292" s="17">
        <f>IF(A292="COMPOSICAO",VLOOKUP("TOTAL - "&amp;B292,COMPOSICAO_AUX_3!$A:$J,10,FALSE),VLOOKUP(B292,I!$A:$D,4,FALSE))</f>
        <v>0.06</v>
      </c>
      <c r="J292" s="80">
        <f t="shared" si="10"/>
        <v>0.06</v>
      </c>
      <c r="K292" s="81"/>
    </row>
    <row r="293" spans="1:13" ht="15" customHeight="1" x14ac:dyDescent="0.25">
      <c r="A293" s="23" t="s">
        <v>752</v>
      </c>
      <c r="B293" s="24"/>
      <c r="C293" s="24"/>
      <c r="D293" s="24"/>
      <c r="E293" s="24"/>
      <c r="F293" s="24"/>
      <c r="G293" s="25"/>
      <c r="H293" s="26"/>
      <c r="I293" s="27"/>
      <c r="J293" s="80">
        <f>SUM(J284:K292)</f>
        <v>22.15</v>
      </c>
      <c r="K293" s="81"/>
    </row>
    <row r="294" spans="1:13" ht="15" customHeight="1" x14ac:dyDescent="0.25">
      <c r="A294" s="3"/>
      <c r="B294" s="3"/>
      <c r="C294" s="3"/>
      <c r="D294" s="3"/>
      <c r="E294" s="3"/>
      <c r="F294" s="3"/>
      <c r="G294" s="3"/>
      <c r="H294" s="3"/>
      <c r="I294" s="3"/>
      <c r="J294" s="3"/>
      <c r="K294" s="3"/>
    </row>
    <row r="295" spans="1:13" ht="15" customHeight="1" x14ac:dyDescent="0.25">
      <c r="A295" s="10" t="s">
        <v>295</v>
      </c>
      <c r="B295" s="10" t="s">
        <v>31</v>
      </c>
      <c r="C295" s="82" t="s">
        <v>7</v>
      </c>
      <c r="D295" s="83"/>
      <c r="E295" s="83"/>
      <c r="F295" s="83"/>
      <c r="G295" s="6" t="s">
        <v>32</v>
      </c>
      <c r="H295" s="6" t="s">
        <v>296</v>
      </c>
      <c r="I295" s="6" t="s">
        <v>297</v>
      </c>
      <c r="J295" s="57" t="s">
        <v>9</v>
      </c>
      <c r="K295" s="58"/>
    </row>
    <row r="296" spans="1:13" ht="75" customHeight="1" x14ac:dyDescent="0.25">
      <c r="A296" s="6" t="s">
        <v>572</v>
      </c>
      <c r="B296" s="28">
        <v>91396</v>
      </c>
      <c r="C296" s="91" t="str">
        <f>VLOOKUP(B296,S!$A:$D,2,FALSE)</f>
        <v>CAMINHÃO PIPA 10.000 L TRUCADO, PESO BRUTO TOTAL 23.000 KG, CARGA ÚTIL MÁXIMA 15.935 KG, DISTÂNCIA ENTRE EIXOS 4,8 M, POTÊNCIA 230 CV, INCLUSIVE TANQUE DE AÇO PARA TRANSPORTE DE ÁGUA - DEPRECIAÇÃO. AF_06/2014</v>
      </c>
      <c r="D296" s="91"/>
      <c r="E296" s="91"/>
      <c r="F296" s="92"/>
      <c r="G296" s="6" t="str">
        <f>VLOOKUP(B296,S!$A:$D,3,FALSE)</f>
        <v>H</v>
      </c>
      <c r="H296" s="21"/>
      <c r="I296" s="21">
        <f>J299</f>
        <v>16.3</v>
      </c>
      <c r="J296" s="76"/>
      <c r="K296" s="72"/>
      <c r="L296" s="21">
        <f>VLOOKUP(B296,S!$A:$D,4,FALSE)</f>
        <v>16.3</v>
      </c>
      <c r="M296" s="6" t="str">
        <f>IF(ROUND((L296-I296),2)=0,"OK, confere com a tabela.",IF(ROUND((L296-I296),2)&lt;0,"ACIMA ("&amp;TEXT(ROUND(I296*100/L296,4),"0,0000")&amp;" %) da tabela.","ABAIXO ("&amp;TEXT(ROUND(I296*100/L296,4),"0,0000")&amp;" %) da tabela."))</f>
        <v>OK, confere com a tabela.</v>
      </c>
    </row>
    <row r="297" spans="1:13" ht="75" customHeight="1" x14ac:dyDescent="0.25">
      <c r="A297" s="16" t="s">
        <v>306</v>
      </c>
      <c r="B297" s="20">
        <v>37736</v>
      </c>
      <c r="C297" s="77" t="str">
        <f>VLOOKUP(B297,IF(A297="COMPOSICAO",S!$A:$D,I!$A:$D),2,FALSE)</f>
        <v>TANQUE DE ACO CARBONO NAO REVESTIDO, PARA TRANSPORTE DE AGUA COM CAPACIDADE DE 10 M3, COM BOMBA CENTRIFUGA POR TOMADA DE FORCA, VAZAO MAXIMA *75* M3/H (INCLUI MONTAGEM, NAO INCLUI CAMINHAO)</v>
      </c>
      <c r="D297" s="77"/>
      <c r="E297" s="77"/>
      <c r="F297" s="77"/>
      <c r="G297" s="16" t="str">
        <f>VLOOKUP(B297,IF(A297="COMPOSICAO",S!$A:$D,I!$A:$D),3,FALSE)</f>
        <v>UN</v>
      </c>
      <c r="H297" s="31">
        <v>3.43E-5</v>
      </c>
      <c r="I297" s="17">
        <f>IF(A297="COMPOSICAO",VLOOKUP("TOTAL - "&amp;B297,COMPOSICAO_AUX_3!$A:$J,10,FALSE),VLOOKUP(B297,I!$A:$D,4,FALSE))</f>
        <v>78450</v>
      </c>
      <c r="J297" s="80">
        <f>TRUNC(H297*I297,2)</f>
        <v>2.69</v>
      </c>
      <c r="K297" s="81"/>
    </row>
    <row r="298" spans="1:13" ht="60" customHeight="1" x14ac:dyDescent="0.25">
      <c r="A298" s="16" t="s">
        <v>306</v>
      </c>
      <c r="B298" s="20">
        <v>37747</v>
      </c>
      <c r="C298" s="77" t="str">
        <f>VLOOKUP(B298,IF(A298="COMPOSICAO",S!$A:$D,I!$A:$D),2,FALSE)</f>
        <v>CAMINHAO TRUCADO, PESO BRUTO TOTAL 23000 KG, CARGA UTIL MAXIMA 15935 KG, DISTANCIA ENTRE EIXOS 4,80 M, POTENCIA 230 CV (INCLUI CABINE E CHASSI, NAO INCLUI CARROCERIA)</v>
      </c>
      <c r="D298" s="77"/>
      <c r="E298" s="77"/>
      <c r="F298" s="77"/>
      <c r="G298" s="16" t="str">
        <f>VLOOKUP(B298,IF(A298="COMPOSICAO",S!$A:$D,I!$A:$D),3,FALSE)</f>
        <v>UN</v>
      </c>
      <c r="H298" s="31">
        <v>3.43E-5</v>
      </c>
      <c r="I298" s="17">
        <f>IF(A298="COMPOSICAO",VLOOKUP("TOTAL - "&amp;B298,COMPOSICAO_AUX_3!$A:$J,10,FALSE),VLOOKUP(B298,I!$A:$D,4,FALSE))</f>
        <v>396848.38</v>
      </c>
      <c r="J298" s="80">
        <f>TRUNC(H298*I298,2)</f>
        <v>13.61</v>
      </c>
      <c r="K298" s="81"/>
    </row>
    <row r="299" spans="1:13" ht="15" customHeight="1" x14ac:dyDescent="0.25">
      <c r="A299" s="23" t="s">
        <v>753</v>
      </c>
      <c r="B299" s="24"/>
      <c r="C299" s="24"/>
      <c r="D299" s="24"/>
      <c r="E299" s="24"/>
      <c r="F299" s="24"/>
      <c r="G299" s="25"/>
      <c r="H299" s="26"/>
      <c r="I299" s="27"/>
      <c r="J299" s="80">
        <f>SUM(J296:K298)</f>
        <v>16.3</v>
      </c>
      <c r="K299" s="81"/>
    </row>
    <row r="300" spans="1:13" ht="15" customHeight="1" x14ac:dyDescent="0.25">
      <c r="A300" s="3"/>
      <c r="B300" s="3"/>
      <c r="C300" s="3"/>
      <c r="D300" s="3"/>
      <c r="E300" s="3"/>
      <c r="F300" s="3"/>
      <c r="G300" s="3"/>
      <c r="H300" s="3"/>
      <c r="I300" s="3"/>
      <c r="J300" s="3"/>
      <c r="K300" s="3"/>
    </row>
    <row r="301" spans="1:13" ht="15" customHeight="1" x14ac:dyDescent="0.25">
      <c r="A301" s="10" t="s">
        <v>295</v>
      </c>
      <c r="B301" s="10" t="s">
        <v>31</v>
      </c>
      <c r="C301" s="82" t="s">
        <v>7</v>
      </c>
      <c r="D301" s="83"/>
      <c r="E301" s="83"/>
      <c r="F301" s="83"/>
      <c r="G301" s="6" t="s">
        <v>32</v>
      </c>
      <c r="H301" s="6" t="s">
        <v>296</v>
      </c>
      <c r="I301" s="6" t="s">
        <v>297</v>
      </c>
      <c r="J301" s="57" t="s">
        <v>9</v>
      </c>
      <c r="K301" s="58"/>
    </row>
    <row r="302" spans="1:13" ht="75" customHeight="1" x14ac:dyDescent="0.25">
      <c r="A302" s="6" t="s">
        <v>572</v>
      </c>
      <c r="B302" s="28">
        <v>91397</v>
      </c>
      <c r="C302" s="91" t="str">
        <f>VLOOKUP(B302,S!$A:$D,2,FALSE)</f>
        <v>CAMINHÃO PIPA 10.000 L TRUCADO, PESO BRUTO TOTAL 23.000 KG, CARGA ÚTIL MÁXIMA 15.935 KG, DISTÂNCIA ENTRE EIXOS 4,8 M, POTÊNCIA 230 CV, INCLUSIVE TANQUE DE AÇO PARA TRANSPORTE DE ÁGUA - JUROS. AF_06/2014</v>
      </c>
      <c r="D302" s="91"/>
      <c r="E302" s="91"/>
      <c r="F302" s="92"/>
      <c r="G302" s="6" t="str">
        <f>VLOOKUP(B302,S!$A:$D,3,FALSE)</f>
        <v>H</v>
      </c>
      <c r="H302" s="21"/>
      <c r="I302" s="21">
        <f>J305</f>
        <v>3.41</v>
      </c>
      <c r="J302" s="76"/>
      <c r="K302" s="72"/>
      <c r="L302" s="21">
        <f>VLOOKUP(B302,S!$A:$D,4,FALSE)</f>
        <v>3.41</v>
      </c>
      <c r="M302" s="6" t="str">
        <f>IF(ROUND((L302-I302),2)=0,"OK, confere com a tabela.",IF(ROUND((L302-I302),2)&lt;0,"ACIMA ("&amp;TEXT(ROUND(I302*100/L302,4),"0,0000")&amp;" %) da tabela.","ABAIXO ("&amp;TEXT(ROUND(I302*100/L302,4),"0,0000")&amp;" %) da tabela."))</f>
        <v>OK, confere com a tabela.</v>
      </c>
    </row>
    <row r="303" spans="1:13" ht="75" customHeight="1" x14ac:dyDescent="0.25">
      <c r="A303" s="16" t="s">
        <v>306</v>
      </c>
      <c r="B303" s="20">
        <v>37736</v>
      </c>
      <c r="C303" s="77" t="str">
        <f>VLOOKUP(B303,IF(A303="COMPOSICAO",S!$A:$D,I!$A:$D),2,FALSE)</f>
        <v>TANQUE DE ACO CARBONO NAO REVESTIDO, PARA TRANSPORTE DE AGUA COM CAPACIDADE DE 10 M3, COM BOMBA CENTRIFUGA POR TOMADA DE FORCA, VAZAO MAXIMA *75* M3/H (INCLUI MONTAGEM, NAO INCLUI CAMINHAO)</v>
      </c>
      <c r="D303" s="77"/>
      <c r="E303" s="77"/>
      <c r="F303" s="77"/>
      <c r="G303" s="16" t="str">
        <f>VLOOKUP(B303,IF(A303="COMPOSICAO",S!$A:$D,I!$A:$D),3,FALSE)</f>
        <v>UN</v>
      </c>
      <c r="H303" s="31">
        <v>7.1999999999999997E-6</v>
      </c>
      <c r="I303" s="17">
        <f>IF(A303="COMPOSICAO",VLOOKUP("TOTAL - "&amp;B303,COMPOSICAO_AUX_3!$A:$J,10,FALSE),VLOOKUP(B303,I!$A:$D,4,FALSE))</f>
        <v>78450</v>
      </c>
      <c r="J303" s="80">
        <f>TRUNC(H303*I303,2)</f>
        <v>0.56000000000000005</v>
      </c>
      <c r="K303" s="81"/>
    </row>
    <row r="304" spans="1:13" ht="60" customHeight="1" x14ac:dyDescent="0.25">
      <c r="A304" s="16" t="s">
        <v>306</v>
      </c>
      <c r="B304" s="20">
        <v>37747</v>
      </c>
      <c r="C304" s="77" t="str">
        <f>VLOOKUP(B304,IF(A304="COMPOSICAO",S!$A:$D,I!$A:$D),2,FALSE)</f>
        <v>CAMINHAO TRUCADO, PESO BRUTO TOTAL 23000 KG, CARGA UTIL MAXIMA 15935 KG, DISTANCIA ENTRE EIXOS 4,80 M, POTENCIA 230 CV (INCLUI CABINE E CHASSI, NAO INCLUI CARROCERIA)</v>
      </c>
      <c r="D304" s="77"/>
      <c r="E304" s="77"/>
      <c r="F304" s="77"/>
      <c r="G304" s="16" t="str">
        <f>VLOOKUP(B304,IF(A304="COMPOSICAO",S!$A:$D,I!$A:$D),3,FALSE)</f>
        <v>UN</v>
      </c>
      <c r="H304" s="31">
        <v>7.1999999999999997E-6</v>
      </c>
      <c r="I304" s="17">
        <f>IF(A304="COMPOSICAO",VLOOKUP("TOTAL - "&amp;B304,COMPOSICAO_AUX_3!$A:$J,10,FALSE),VLOOKUP(B304,I!$A:$D,4,FALSE))</f>
        <v>396848.38</v>
      </c>
      <c r="J304" s="80">
        <f>TRUNC(H304*I304,2)</f>
        <v>2.85</v>
      </c>
      <c r="K304" s="81"/>
    </row>
    <row r="305" spans="1:13" ht="15" customHeight="1" x14ac:dyDescent="0.25">
      <c r="A305" s="23" t="s">
        <v>754</v>
      </c>
      <c r="B305" s="24"/>
      <c r="C305" s="24"/>
      <c r="D305" s="24"/>
      <c r="E305" s="24"/>
      <c r="F305" s="24"/>
      <c r="G305" s="25"/>
      <c r="H305" s="26"/>
      <c r="I305" s="27"/>
      <c r="J305" s="80">
        <f>SUM(J302:K304)</f>
        <v>3.41</v>
      </c>
      <c r="K305" s="81"/>
    </row>
    <row r="306" spans="1:13" ht="15" customHeight="1" x14ac:dyDescent="0.25">
      <c r="A306" s="3"/>
      <c r="B306" s="3"/>
      <c r="C306" s="3"/>
      <c r="D306" s="3"/>
      <c r="E306" s="3"/>
      <c r="F306" s="3"/>
      <c r="G306" s="3"/>
      <c r="H306" s="3"/>
      <c r="I306" s="3"/>
      <c r="J306" s="3"/>
      <c r="K306" s="3"/>
    </row>
    <row r="307" spans="1:13" ht="15" customHeight="1" x14ac:dyDescent="0.25">
      <c r="A307" s="10" t="s">
        <v>295</v>
      </c>
      <c r="B307" s="10" t="s">
        <v>31</v>
      </c>
      <c r="C307" s="82" t="s">
        <v>7</v>
      </c>
      <c r="D307" s="83"/>
      <c r="E307" s="83"/>
      <c r="F307" s="83"/>
      <c r="G307" s="6" t="s">
        <v>32</v>
      </c>
      <c r="H307" s="6" t="s">
        <v>296</v>
      </c>
      <c r="I307" s="6" t="s">
        <v>297</v>
      </c>
      <c r="J307" s="57" t="s">
        <v>9</v>
      </c>
      <c r="K307" s="58"/>
    </row>
    <row r="308" spans="1:13" ht="75" customHeight="1" x14ac:dyDescent="0.25">
      <c r="A308" s="6" t="s">
        <v>572</v>
      </c>
      <c r="B308" s="28">
        <v>91398</v>
      </c>
      <c r="C308" s="91" t="str">
        <f>VLOOKUP(B308,S!$A:$D,2,FALSE)</f>
        <v>CAMINHÃO PIPA 10.000 L TRUCADO, PESO BRUTO TOTAL 23.000 KG, CARGA ÚTIL MÁXIMA 15.935 KG, DISTÂNCIA ENTRE EIXOS 4,8 M, POTÊNCIA 230 CV, INCLUSIVE TANQUE DE AÇO PARA TRANSPORTE DE ÁGUA - IMPOSTOS E SEGUROS. AF_06/2014</v>
      </c>
      <c r="D308" s="91"/>
      <c r="E308" s="91"/>
      <c r="F308" s="92"/>
      <c r="G308" s="6" t="str">
        <f>VLOOKUP(B308,S!$A:$D,3,FALSE)</f>
        <v>H</v>
      </c>
      <c r="H308" s="21"/>
      <c r="I308" s="21">
        <f>J311</f>
        <v>1.32</v>
      </c>
      <c r="J308" s="76"/>
      <c r="K308" s="72"/>
      <c r="L308" s="21">
        <f>VLOOKUP(B308,S!$A:$D,4,FALSE)</f>
        <v>1.32</v>
      </c>
      <c r="M308" s="6" t="str">
        <f>IF(ROUND((L308-I308),2)=0,"OK, confere com a tabela.",IF(ROUND((L308-I308),2)&lt;0,"ACIMA ("&amp;TEXT(ROUND(I308*100/L308,4),"0,0000")&amp;" %) da tabela.","ABAIXO ("&amp;TEXT(ROUND(I308*100/L308,4),"0,0000")&amp;" %) da tabela."))</f>
        <v>OK, confere com a tabela.</v>
      </c>
    </row>
    <row r="309" spans="1:13" ht="75" customHeight="1" x14ac:dyDescent="0.25">
      <c r="A309" s="16" t="s">
        <v>306</v>
      </c>
      <c r="B309" s="20">
        <v>37736</v>
      </c>
      <c r="C309" s="77" t="str">
        <f>VLOOKUP(B309,IF(A309="COMPOSICAO",S!$A:$D,I!$A:$D),2,FALSE)</f>
        <v>TANQUE DE ACO CARBONO NAO REVESTIDO, PARA TRANSPORTE DE AGUA COM CAPACIDADE DE 10 M3, COM BOMBA CENTRIFUGA POR TOMADA DE FORCA, VAZAO MAXIMA *75* M3/H (INCLUI MONTAGEM, NAO INCLUI CAMINHAO)</v>
      </c>
      <c r="D309" s="77"/>
      <c r="E309" s="77"/>
      <c r="F309" s="77"/>
      <c r="G309" s="16" t="str">
        <f>VLOOKUP(B309,IF(A309="COMPOSICAO",S!$A:$D,I!$A:$D),3,FALSE)</f>
        <v>UN</v>
      </c>
      <c r="H309" s="31">
        <v>2.7999999999999999E-6</v>
      </c>
      <c r="I309" s="17">
        <f>IF(A309="COMPOSICAO",VLOOKUP("TOTAL - "&amp;B309,COMPOSICAO_AUX_3!$A:$J,10,FALSE),VLOOKUP(B309,I!$A:$D,4,FALSE))</f>
        <v>78450</v>
      </c>
      <c r="J309" s="80">
        <f>TRUNC(H309*I309,2)</f>
        <v>0.21</v>
      </c>
      <c r="K309" s="81"/>
    </row>
    <row r="310" spans="1:13" ht="60" customHeight="1" x14ac:dyDescent="0.25">
      <c r="A310" s="16" t="s">
        <v>306</v>
      </c>
      <c r="B310" s="20">
        <v>37747</v>
      </c>
      <c r="C310" s="77" t="str">
        <f>VLOOKUP(B310,IF(A310="COMPOSICAO",S!$A:$D,I!$A:$D),2,FALSE)</f>
        <v>CAMINHAO TRUCADO, PESO BRUTO TOTAL 23000 KG, CARGA UTIL MAXIMA 15935 KG, DISTANCIA ENTRE EIXOS 4,80 M, POTENCIA 230 CV (INCLUI CABINE E CHASSI, NAO INCLUI CARROCERIA)</v>
      </c>
      <c r="D310" s="77"/>
      <c r="E310" s="77"/>
      <c r="F310" s="77"/>
      <c r="G310" s="16" t="str">
        <f>VLOOKUP(B310,IF(A310="COMPOSICAO",S!$A:$D,I!$A:$D),3,FALSE)</f>
        <v>UN</v>
      </c>
      <c r="H310" s="31">
        <v>2.7999999999999999E-6</v>
      </c>
      <c r="I310" s="17">
        <f>IF(A310="COMPOSICAO",VLOOKUP("TOTAL - "&amp;B310,COMPOSICAO_AUX_3!$A:$J,10,FALSE),VLOOKUP(B310,I!$A:$D,4,FALSE))</f>
        <v>396848.38</v>
      </c>
      <c r="J310" s="80">
        <f>TRUNC(H310*I310,2)</f>
        <v>1.1100000000000001</v>
      </c>
      <c r="K310" s="81"/>
    </row>
    <row r="311" spans="1:13" ht="15" customHeight="1" x14ac:dyDescent="0.25">
      <c r="A311" s="23" t="s">
        <v>755</v>
      </c>
      <c r="B311" s="24"/>
      <c r="C311" s="24"/>
      <c r="D311" s="24"/>
      <c r="E311" s="24"/>
      <c r="F311" s="24"/>
      <c r="G311" s="25"/>
      <c r="H311" s="26"/>
      <c r="I311" s="27"/>
      <c r="J311" s="80">
        <f>SUM(J308:K310)</f>
        <v>1.32</v>
      </c>
      <c r="K311" s="81"/>
    </row>
    <row r="312" spans="1:13" ht="15" customHeight="1" x14ac:dyDescent="0.25">
      <c r="A312" s="3"/>
      <c r="B312" s="3"/>
      <c r="C312" s="3"/>
      <c r="D312" s="3"/>
      <c r="E312" s="3"/>
      <c r="F312" s="3"/>
      <c r="G312" s="3"/>
      <c r="H312" s="3"/>
      <c r="I312" s="3"/>
      <c r="J312" s="3"/>
      <c r="K312" s="3"/>
    </row>
    <row r="313" spans="1:13" ht="15" customHeight="1" x14ac:dyDescent="0.25">
      <c r="A313" s="10" t="s">
        <v>295</v>
      </c>
      <c r="B313" s="10" t="s">
        <v>31</v>
      </c>
      <c r="C313" s="82" t="s">
        <v>7</v>
      </c>
      <c r="D313" s="83"/>
      <c r="E313" s="83"/>
      <c r="F313" s="83"/>
      <c r="G313" s="6" t="s">
        <v>32</v>
      </c>
      <c r="H313" s="6" t="s">
        <v>296</v>
      </c>
      <c r="I313" s="6" t="s">
        <v>297</v>
      </c>
      <c r="J313" s="57" t="s">
        <v>9</v>
      </c>
      <c r="K313" s="58"/>
    </row>
    <row r="314" spans="1:13" ht="30" customHeight="1" x14ac:dyDescent="0.25">
      <c r="A314" s="6" t="s">
        <v>502</v>
      </c>
      <c r="B314" s="28">
        <v>88297</v>
      </c>
      <c r="C314" s="91" t="str">
        <f>VLOOKUP(B314,S!$A:$D,2,FALSE)</f>
        <v>OPERADOR DE MÁQUINAS E EQUIPAMENTOS COM ENCARGOS COMPLEMENTARES</v>
      </c>
      <c r="D314" s="91"/>
      <c r="E314" s="91"/>
      <c r="F314" s="92"/>
      <c r="G314" s="6" t="str">
        <f>VLOOKUP(B314,S!$A:$D,3,FALSE)</f>
        <v>H</v>
      </c>
      <c r="H314" s="21"/>
      <c r="I314" s="21">
        <f>J323</f>
        <v>25.04</v>
      </c>
      <c r="J314" s="76"/>
      <c r="K314" s="72"/>
      <c r="L314" s="21">
        <f>VLOOKUP(B314,S!$A:$D,4,FALSE)</f>
        <v>25.04</v>
      </c>
      <c r="M314" s="6" t="str">
        <f>IF(ROUND((L314-I314),2)=0,"OK, confere com a tabela.",IF(ROUND((L314-I314),2)&lt;0,"ACIMA ("&amp;TEXT(ROUND(I314*100/L314,4),"0,0000")&amp;" %) da tabela.","ABAIXO ("&amp;TEXT(ROUND(I314*100/L314,4),"0,0000")&amp;" %) da tabela."))</f>
        <v>OK, confere com a tabela.</v>
      </c>
    </row>
    <row r="315" spans="1:13" ht="30" customHeight="1" x14ac:dyDescent="0.25">
      <c r="A315" s="16" t="s">
        <v>306</v>
      </c>
      <c r="B315" s="20">
        <v>4230</v>
      </c>
      <c r="C315" s="77" t="str">
        <f>VLOOKUP(B315,IF(A315="COMPOSICAO",S!$A:$D,I!$A:$D),2,FALSE)</f>
        <v>OPERADOR DE MAQUINAS E TRATORES DIVERSOS (TERRAPLANAGEM)</v>
      </c>
      <c r="D315" s="77"/>
      <c r="E315" s="77"/>
      <c r="F315" s="77"/>
      <c r="G315" s="16" t="str">
        <f>VLOOKUP(B315,IF(A315="COMPOSICAO",S!$A:$D,I!$A:$D),3,FALSE)</f>
        <v>H</v>
      </c>
      <c r="H315" s="17">
        <v>1</v>
      </c>
      <c r="I315" s="17">
        <f>IF(A315="COMPOSICAO",VLOOKUP("TOTAL - "&amp;B315,COMPOSICAO_AUX_3!$A:$J,10,FALSE),VLOOKUP(B315,I!$A:$D,4,FALSE))</f>
        <v>21.06</v>
      </c>
      <c r="J315" s="80">
        <f t="shared" ref="J315:J322" si="11">TRUNC(H315*I315,2)</f>
        <v>21.06</v>
      </c>
      <c r="K315" s="81"/>
    </row>
    <row r="316" spans="1:13" ht="15" customHeight="1" x14ac:dyDescent="0.25">
      <c r="A316" s="16" t="s">
        <v>306</v>
      </c>
      <c r="B316" s="20">
        <v>37370</v>
      </c>
      <c r="C316" s="77" t="str">
        <f>VLOOKUP(B316,IF(A316="COMPOSICAO",S!$A:$D,I!$A:$D),2,FALSE)</f>
        <v>ALIMENTACAO - HORISTA (COLETADO CAIXA)</v>
      </c>
      <c r="D316" s="77"/>
      <c r="E316" s="77"/>
      <c r="F316" s="77"/>
      <c r="G316" s="16" t="str">
        <f>VLOOKUP(B316,IF(A316="COMPOSICAO",S!$A:$D,I!$A:$D),3,FALSE)</f>
        <v>H</v>
      </c>
      <c r="H316" s="17">
        <v>1</v>
      </c>
      <c r="I316" s="17">
        <f>IF(A316="COMPOSICAO",VLOOKUP("TOTAL - "&amp;B316,COMPOSICAO_AUX_3!$A:$J,10,FALSE),VLOOKUP(B316,I!$A:$D,4,FALSE))</f>
        <v>1.86</v>
      </c>
      <c r="J316" s="80">
        <f t="shared" si="11"/>
        <v>1.86</v>
      </c>
      <c r="K316" s="81"/>
    </row>
    <row r="317" spans="1:13" ht="15" customHeight="1" x14ac:dyDescent="0.25">
      <c r="A317" s="16" t="s">
        <v>306</v>
      </c>
      <c r="B317" s="20">
        <v>37371</v>
      </c>
      <c r="C317" s="77" t="str">
        <f>VLOOKUP(B317,IF(A317="COMPOSICAO",S!$A:$D,I!$A:$D),2,FALSE)</f>
        <v>TRANSPORTE - HORISTA (COLETADO CAIXA)</v>
      </c>
      <c r="D317" s="77"/>
      <c r="E317" s="77"/>
      <c r="F317" s="77"/>
      <c r="G317" s="16" t="str">
        <f>VLOOKUP(B317,IF(A317="COMPOSICAO",S!$A:$D,I!$A:$D),3,FALSE)</f>
        <v>H</v>
      </c>
      <c r="H317" s="17">
        <v>1</v>
      </c>
      <c r="I317" s="17">
        <f>IF(A317="COMPOSICAO",VLOOKUP("TOTAL - "&amp;B317,COMPOSICAO_AUX_3!$A:$J,10,FALSE),VLOOKUP(B317,I!$A:$D,4,FALSE))</f>
        <v>0.7</v>
      </c>
      <c r="J317" s="80">
        <f t="shared" si="11"/>
        <v>0.7</v>
      </c>
      <c r="K317" s="81"/>
    </row>
    <row r="318" spans="1:13" ht="15" customHeight="1" x14ac:dyDescent="0.25">
      <c r="A318" s="16" t="s">
        <v>306</v>
      </c>
      <c r="B318" s="20">
        <v>37372</v>
      </c>
      <c r="C318" s="77" t="str">
        <f>VLOOKUP(B318,IF(A318="COMPOSICAO",S!$A:$D,I!$A:$D),2,FALSE)</f>
        <v>EXAMES - HORISTA (COLETADO CAIXA)</v>
      </c>
      <c r="D318" s="77"/>
      <c r="E318" s="77"/>
      <c r="F318" s="77"/>
      <c r="G318" s="16" t="str">
        <f>VLOOKUP(B318,IF(A318="COMPOSICAO",S!$A:$D,I!$A:$D),3,FALSE)</f>
        <v>H</v>
      </c>
      <c r="H318" s="17">
        <v>1</v>
      </c>
      <c r="I318" s="17">
        <f>IF(A318="COMPOSICAO",VLOOKUP("TOTAL - "&amp;B318,COMPOSICAO_AUX_3!$A:$J,10,FALSE),VLOOKUP(B318,I!$A:$D,4,FALSE))</f>
        <v>0.55000000000000004</v>
      </c>
      <c r="J318" s="80">
        <f t="shared" si="11"/>
        <v>0.55000000000000004</v>
      </c>
      <c r="K318" s="81"/>
    </row>
    <row r="319" spans="1:13" ht="15" customHeight="1" x14ac:dyDescent="0.25">
      <c r="A319" s="16" t="s">
        <v>306</v>
      </c>
      <c r="B319" s="20">
        <v>37373</v>
      </c>
      <c r="C319" s="77" t="str">
        <f>VLOOKUP(B319,IF(A319="COMPOSICAO",S!$A:$D,I!$A:$D),2,FALSE)</f>
        <v>SEGURO - HORISTA (COLETADO CAIXA)</v>
      </c>
      <c r="D319" s="77"/>
      <c r="E319" s="77"/>
      <c r="F319" s="77"/>
      <c r="G319" s="16" t="str">
        <f>VLOOKUP(B319,IF(A319="COMPOSICAO",S!$A:$D,I!$A:$D),3,FALSE)</f>
        <v>H</v>
      </c>
      <c r="H319" s="17">
        <v>1</v>
      </c>
      <c r="I319" s="17">
        <f>IF(A319="COMPOSICAO",VLOOKUP("TOTAL - "&amp;B319,COMPOSICAO_AUX_3!$A:$J,10,FALSE),VLOOKUP(B319,I!$A:$D,4,FALSE))</f>
        <v>0.06</v>
      </c>
      <c r="J319" s="80">
        <f t="shared" si="11"/>
        <v>0.06</v>
      </c>
      <c r="K319" s="81"/>
    </row>
    <row r="320" spans="1:13" ht="45" customHeight="1" x14ac:dyDescent="0.25">
      <c r="A320" s="16" t="s">
        <v>306</v>
      </c>
      <c r="B320" s="20">
        <v>43464</v>
      </c>
      <c r="C320" s="77" t="str">
        <f>VLOOKUP(B320,IF(A320="COMPOSICAO",S!$A:$D,I!$A:$D),2,FALSE)</f>
        <v>FERRAMENTAS - FAMILIA OPERADOR ESCAVADEIRA - HORISTA (ENCARGOS COMPLEMENTARES - COLETADO CAIXA)</v>
      </c>
      <c r="D320" s="77"/>
      <c r="E320" s="77"/>
      <c r="F320" s="77"/>
      <c r="G320" s="16" t="str">
        <f>VLOOKUP(B320,IF(A320="COMPOSICAO",S!$A:$D,I!$A:$D),3,FALSE)</f>
        <v>H</v>
      </c>
      <c r="H320" s="17">
        <v>1</v>
      </c>
      <c r="I320" s="17">
        <f>IF(A320="COMPOSICAO",VLOOKUP("TOTAL - "&amp;B320,COMPOSICAO_AUX_3!$A:$J,10,FALSE),VLOOKUP(B320,I!$A:$D,4,FALSE))</f>
        <v>0.01</v>
      </c>
      <c r="J320" s="80">
        <f t="shared" si="11"/>
        <v>0.01</v>
      </c>
      <c r="K320" s="81"/>
    </row>
    <row r="321" spans="1:13" ht="30" customHeight="1" x14ac:dyDescent="0.25">
      <c r="A321" s="16" t="s">
        <v>306</v>
      </c>
      <c r="B321" s="20">
        <v>43488</v>
      </c>
      <c r="C321" s="77" t="str">
        <f>VLOOKUP(B321,IF(A321="COMPOSICAO",S!$A:$D,I!$A:$D),2,FALSE)</f>
        <v>EPI - FAMILIA OPERADOR ESCAVADEIRA - HORISTA (ENCARGOS COMPLEMENTARES - COLETADO CAIXA)</v>
      </c>
      <c r="D321" s="77"/>
      <c r="E321" s="77"/>
      <c r="F321" s="77"/>
      <c r="G321" s="16" t="str">
        <f>VLOOKUP(B321,IF(A321="COMPOSICAO",S!$A:$D,I!$A:$D),3,FALSE)</f>
        <v>H</v>
      </c>
      <c r="H321" s="17">
        <v>1</v>
      </c>
      <c r="I321" s="17">
        <f>IF(A321="COMPOSICAO",VLOOKUP("TOTAL - "&amp;B321,COMPOSICAO_AUX_3!$A:$J,10,FALSE),VLOOKUP(B321,I!$A:$D,4,FALSE))</f>
        <v>0.63</v>
      </c>
      <c r="J321" s="80">
        <f t="shared" si="11"/>
        <v>0.63</v>
      </c>
      <c r="K321" s="81"/>
    </row>
    <row r="322" spans="1:13" ht="45" customHeight="1" x14ac:dyDescent="0.25">
      <c r="A322" s="16" t="s">
        <v>302</v>
      </c>
      <c r="B322" s="20">
        <v>95360</v>
      </c>
      <c r="C322" s="77" t="str">
        <f>VLOOKUP(B322,IF(A322="COMPOSICAO",S!$A:$D,I!$A:$D),2,FALSE)</f>
        <v>CURSO DE CAPACITAÇÃO PARA OPERADOR DE MÁQUINAS E EQUIPAMENTOS (ENCARGOS COMPLEMENTARES) - HORISTA</v>
      </c>
      <c r="D322" s="77"/>
      <c r="E322" s="77"/>
      <c r="F322" s="77"/>
      <c r="G322" s="16" t="str">
        <f>VLOOKUP(B322,IF(A322="COMPOSICAO",S!$A:$D,I!$A:$D),3,FALSE)</f>
        <v>H</v>
      </c>
      <c r="H322" s="17">
        <v>1</v>
      </c>
      <c r="I322" s="17">
        <f>IF(A322="COMPOSICAO",VLOOKUP("TOTAL - "&amp;B322,COMPOSICAO_AUX_3!$A:$J,10,FALSE),VLOOKUP(B322,I!$A:$D,4,FALSE))</f>
        <v>0.17</v>
      </c>
      <c r="J322" s="80">
        <f t="shared" si="11"/>
        <v>0.17</v>
      </c>
      <c r="K322" s="81"/>
    </row>
    <row r="323" spans="1:13" ht="15" customHeight="1" x14ac:dyDescent="0.25">
      <c r="A323" s="23" t="s">
        <v>756</v>
      </c>
      <c r="B323" s="24"/>
      <c r="C323" s="24"/>
      <c r="D323" s="24"/>
      <c r="E323" s="24"/>
      <c r="F323" s="24"/>
      <c r="G323" s="25"/>
      <c r="H323" s="26"/>
      <c r="I323" s="27"/>
      <c r="J323" s="80">
        <f>SUM(J314:K322)</f>
        <v>25.04</v>
      </c>
      <c r="K323" s="81"/>
    </row>
    <row r="324" spans="1:13" ht="15" customHeight="1" x14ac:dyDescent="0.25">
      <c r="A324" s="3"/>
      <c r="B324" s="3"/>
      <c r="C324" s="3"/>
      <c r="D324" s="3"/>
      <c r="E324" s="3"/>
      <c r="F324" s="3"/>
      <c r="G324" s="3"/>
      <c r="H324" s="3"/>
      <c r="I324" s="3"/>
      <c r="J324" s="3"/>
      <c r="K324" s="3"/>
    </row>
    <row r="325" spans="1:13" ht="15" customHeight="1" x14ac:dyDescent="0.25">
      <c r="A325" s="10" t="s">
        <v>295</v>
      </c>
      <c r="B325" s="10" t="s">
        <v>31</v>
      </c>
      <c r="C325" s="82" t="s">
        <v>7</v>
      </c>
      <c r="D325" s="83"/>
      <c r="E325" s="83"/>
      <c r="F325" s="83"/>
      <c r="G325" s="6" t="s">
        <v>32</v>
      </c>
      <c r="H325" s="6" t="s">
        <v>296</v>
      </c>
      <c r="I325" s="6" t="s">
        <v>297</v>
      </c>
      <c r="J325" s="57" t="s">
        <v>9</v>
      </c>
      <c r="K325" s="58"/>
    </row>
    <row r="326" spans="1:13" ht="45" customHeight="1" x14ac:dyDescent="0.25">
      <c r="A326" s="6" t="s">
        <v>572</v>
      </c>
      <c r="B326" s="28">
        <v>91529</v>
      </c>
      <c r="C326" s="91" t="str">
        <f>VLOOKUP(B326,S!$A:$D,2,FALSE)</f>
        <v>COMPACTADOR DE SOLOS DE PERCUSSÃO (SOQUETE) COM MOTOR A GASOLINA 4 TEMPOS, POTÊNCIA 4 CV - DEPRECIAÇÃO. AF_08/2015</v>
      </c>
      <c r="D326" s="91"/>
      <c r="E326" s="91"/>
      <c r="F326" s="92"/>
      <c r="G326" s="6" t="str">
        <f>VLOOKUP(B326,S!$A:$D,3,FALSE)</f>
        <v>H</v>
      </c>
      <c r="H326" s="21"/>
      <c r="I326" s="21">
        <f>J328</f>
        <v>0.67</v>
      </c>
      <c r="J326" s="76"/>
      <c r="K326" s="72"/>
      <c r="L326" s="21">
        <f>VLOOKUP(B326,S!$A:$D,4,FALSE)</f>
        <v>0.67</v>
      </c>
      <c r="M326" s="6" t="str">
        <f>IF(ROUND((L326-I326),2)=0,"OK, confere com a tabela.",IF(ROUND((L326-I326),2)&lt;0,"ACIMA ("&amp;TEXT(ROUND(I326*100/L326,4),"0,0000")&amp;" %) da tabela.","ABAIXO ("&amp;TEXT(ROUND(I326*100/L326,4),"0,0000")&amp;" %) da tabela."))</f>
        <v>OK, confere com a tabela.</v>
      </c>
    </row>
    <row r="327" spans="1:13" ht="30" customHeight="1" x14ac:dyDescent="0.25">
      <c r="A327" s="16" t="s">
        <v>306</v>
      </c>
      <c r="B327" s="20">
        <v>13458</v>
      </c>
      <c r="C327" s="77" t="str">
        <f>VLOOKUP(B327,IF(A327="COMPOSICAO",S!$A:$D,I!$A:$D),2,FALSE)</f>
        <v>COMPACTADOR DE SOLOS DE PERCURSAO (SOQUETE) COM MOTOR A GASOLINA 4 TEMPOS DE 4 HP (4 CV)</v>
      </c>
      <c r="D327" s="77"/>
      <c r="E327" s="77"/>
      <c r="F327" s="77"/>
      <c r="G327" s="16" t="str">
        <f>VLOOKUP(B327,IF(A327="COMPOSICAO",S!$A:$D,I!$A:$D),3,FALSE)</f>
        <v>UN</v>
      </c>
      <c r="H327" s="31">
        <v>5.3300000000000001E-5</v>
      </c>
      <c r="I327" s="17">
        <f>IF(A327="COMPOSICAO",VLOOKUP("TOTAL - "&amp;B327,COMPOSICAO_AUX_3!$A:$J,10,FALSE),VLOOKUP(B327,I!$A:$D,4,FALSE))</f>
        <v>12639.13</v>
      </c>
      <c r="J327" s="80">
        <f>TRUNC(H327*I327,2)</f>
        <v>0.67</v>
      </c>
      <c r="K327" s="81"/>
    </row>
    <row r="328" spans="1:13" ht="15" customHeight="1" x14ac:dyDescent="0.25">
      <c r="A328" s="23" t="s">
        <v>757</v>
      </c>
      <c r="B328" s="24"/>
      <c r="C328" s="24"/>
      <c r="D328" s="24"/>
      <c r="E328" s="24"/>
      <c r="F328" s="24"/>
      <c r="G328" s="25"/>
      <c r="H328" s="26"/>
      <c r="I328" s="27"/>
      <c r="J328" s="80">
        <f>SUM(J326:K327)</f>
        <v>0.67</v>
      </c>
      <c r="K328" s="81"/>
    </row>
    <row r="329" spans="1:13" ht="15" customHeight="1" x14ac:dyDescent="0.25">
      <c r="A329" s="3"/>
      <c r="B329" s="3"/>
      <c r="C329" s="3"/>
      <c r="D329" s="3"/>
      <c r="E329" s="3"/>
      <c r="F329" s="3"/>
      <c r="G329" s="3"/>
      <c r="H329" s="3"/>
      <c r="I329" s="3"/>
      <c r="J329" s="3"/>
      <c r="K329" s="3"/>
    </row>
    <row r="330" spans="1:13" ht="15" customHeight="1" x14ac:dyDescent="0.25">
      <c r="A330" s="10" t="s">
        <v>295</v>
      </c>
      <c r="B330" s="10" t="s">
        <v>31</v>
      </c>
      <c r="C330" s="82" t="s">
        <v>7</v>
      </c>
      <c r="D330" s="83"/>
      <c r="E330" s="83"/>
      <c r="F330" s="83"/>
      <c r="G330" s="6" t="s">
        <v>32</v>
      </c>
      <c r="H330" s="6" t="s">
        <v>296</v>
      </c>
      <c r="I330" s="6" t="s">
        <v>297</v>
      </c>
      <c r="J330" s="57" t="s">
        <v>9</v>
      </c>
      <c r="K330" s="58"/>
    </row>
    <row r="331" spans="1:13" ht="45" customHeight="1" x14ac:dyDescent="0.25">
      <c r="A331" s="6" t="s">
        <v>572</v>
      </c>
      <c r="B331" s="28">
        <v>91530</v>
      </c>
      <c r="C331" s="91" t="str">
        <f>VLOOKUP(B331,S!$A:$D,2,FALSE)</f>
        <v>COMPACTADOR DE SOLOS DE PERCUSSÃO (SOQUETE) COM MOTOR A GASOLINA 4 TEMPOS, POTÊNCIA 4 CV - JUROS. AF_08/2015</v>
      </c>
      <c r="D331" s="91"/>
      <c r="E331" s="91"/>
      <c r="F331" s="92"/>
      <c r="G331" s="6" t="str">
        <f>VLOOKUP(B331,S!$A:$D,3,FALSE)</f>
        <v>H</v>
      </c>
      <c r="H331" s="21"/>
      <c r="I331" s="21">
        <f>J333</f>
        <v>0.09</v>
      </c>
      <c r="J331" s="76"/>
      <c r="K331" s="72"/>
      <c r="L331" s="21">
        <f>VLOOKUP(B331,S!$A:$D,4,FALSE)</f>
        <v>0.09</v>
      </c>
      <c r="M331" s="6" t="str">
        <f>IF(ROUND((L331-I331),2)=0,"OK, confere com a tabela.",IF(ROUND((L331-I331),2)&lt;0,"ACIMA ("&amp;TEXT(ROUND(I331*100/L331,4),"0,0000")&amp;" %) da tabela.","ABAIXO ("&amp;TEXT(ROUND(I331*100/L331,4),"0,0000")&amp;" %) da tabela."))</f>
        <v>OK, confere com a tabela.</v>
      </c>
    </row>
    <row r="332" spans="1:13" ht="30" customHeight="1" x14ac:dyDescent="0.25">
      <c r="A332" s="16" t="s">
        <v>306</v>
      </c>
      <c r="B332" s="20">
        <v>13458</v>
      </c>
      <c r="C332" s="77" t="str">
        <f>VLOOKUP(B332,IF(A332="COMPOSICAO",S!$A:$D,I!$A:$D),2,FALSE)</f>
        <v>COMPACTADOR DE SOLOS DE PERCURSAO (SOQUETE) COM MOTOR A GASOLINA 4 TEMPOS DE 4 HP (4 CV)</v>
      </c>
      <c r="D332" s="77"/>
      <c r="E332" s="77"/>
      <c r="F332" s="77"/>
      <c r="G332" s="16" t="str">
        <f>VLOOKUP(B332,IF(A332="COMPOSICAO",S!$A:$D,I!$A:$D),3,FALSE)</f>
        <v>UN</v>
      </c>
      <c r="H332" s="31">
        <v>7.4000000000000003E-6</v>
      </c>
      <c r="I332" s="17">
        <f>IF(A332="COMPOSICAO",VLOOKUP("TOTAL - "&amp;B332,COMPOSICAO_AUX_3!$A:$J,10,FALSE),VLOOKUP(B332,I!$A:$D,4,FALSE))</f>
        <v>12639.13</v>
      </c>
      <c r="J332" s="80">
        <f>TRUNC(H332*I332,2)</f>
        <v>0.09</v>
      </c>
      <c r="K332" s="81"/>
    </row>
    <row r="333" spans="1:13" ht="15" customHeight="1" x14ac:dyDescent="0.25">
      <c r="A333" s="23" t="s">
        <v>758</v>
      </c>
      <c r="B333" s="24"/>
      <c r="C333" s="24"/>
      <c r="D333" s="24"/>
      <c r="E333" s="24"/>
      <c r="F333" s="24"/>
      <c r="G333" s="25"/>
      <c r="H333" s="26"/>
      <c r="I333" s="27"/>
      <c r="J333" s="80">
        <f>SUM(J331:K332)</f>
        <v>0.09</v>
      </c>
      <c r="K333" s="81"/>
    </row>
    <row r="334" spans="1:13" ht="15" customHeight="1" x14ac:dyDescent="0.25">
      <c r="A334" s="3"/>
      <c r="B334" s="3"/>
      <c r="C334" s="3"/>
      <c r="D334" s="3"/>
      <c r="E334" s="3"/>
      <c r="F334" s="3"/>
      <c r="G334" s="3"/>
      <c r="H334" s="3"/>
      <c r="I334" s="3"/>
      <c r="J334" s="3"/>
      <c r="K334" s="3"/>
    </row>
    <row r="335" spans="1:13" ht="15" customHeight="1" x14ac:dyDescent="0.25">
      <c r="A335" s="10" t="s">
        <v>295</v>
      </c>
      <c r="B335" s="10" t="s">
        <v>31</v>
      </c>
      <c r="C335" s="82" t="s">
        <v>7</v>
      </c>
      <c r="D335" s="83"/>
      <c r="E335" s="83"/>
      <c r="F335" s="83"/>
      <c r="G335" s="6" t="s">
        <v>32</v>
      </c>
      <c r="H335" s="6" t="s">
        <v>296</v>
      </c>
      <c r="I335" s="6" t="s">
        <v>297</v>
      </c>
      <c r="J335" s="57" t="s">
        <v>9</v>
      </c>
      <c r="K335" s="58"/>
    </row>
    <row r="336" spans="1:13" ht="45" customHeight="1" x14ac:dyDescent="0.25">
      <c r="A336" s="6" t="s">
        <v>572</v>
      </c>
      <c r="B336" s="28">
        <v>91531</v>
      </c>
      <c r="C336" s="91" t="str">
        <f>VLOOKUP(B336,S!$A:$D,2,FALSE)</f>
        <v>COMPACTADOR DE SOLOS DE PERCUSSÃO (SOQUETE) COM MOTOR A GASOLINA 4 TEMPOS, POTÊNCIA 4 CV - MANUTENÇÃO. AF_08/2015</v>
      </c>
      <c r="D336" s="91"/>
      <c r="E336" s="91"/>
      <c r="F336" s="92"/>
      <c r="G336" s="6" t="str">
        <f>VLOOKUP(B336,S!$A:$D,3,FALSE)</f>
        <v>H</v>
      </c>
      <c r="H336" s="21"/>
      <c r="I336" s="21">
        <f>J338</f>
        <v>0.84</v>
      </c>
      <c r="J336" s="76"/>
      <c r="K336" s="72"/>
      <c r="L336" s="21">
        <f>VLOOKUP(B336,S!$A:$D,4,FALSE)</f>
        <v>0.84</v>
      </c>
      <c r="M336" s="6" t="str">
        <f>IF(ROUND((L336-I336),2)=0,"OK, confere com a tabela.",IF(ROUND((L336-I336),2)&lt;0,"ACIMA ("&amp;TEXT(ROUND(I336*100/L336,4),"0,0000")&amp;" %) da tabela.","ABAIXO ("&amp;TEXT(ROUND(I336*100/L336,4),"0,0000")&amp;" %) da tabela."))</f>
        <v>OK, confere com a tabela.</v>
      </c>
    </row>
    <row r="337" spans="1:13" ht="30" customHeight="1" x14ac:dyDescent="0.25">
      <c r="A337" s="16" t="s">
        <v>306</v>
      </c>
      <c r="B337" s="20">
        <v>13458</v>
      </c>
      <c r="C337" s="77" t="str">
        <f>VLOOKUP(B337,IF(A337="COMPOSICAO",S!$A:$D,I!$A:$D),2,FALSE)</f>
        <v>COMPACTADOR DE SOLOS DE PERCURSAO (SOQUETE) COM MOTOR A GASOLINA 4 TEMPOS DE 4 HP (4 CV)</v>
      </c>
      <c r="D337" s="77"/>
      <c r="E337" s="77"/>
      <c r="F337" s="77"/>
      <c r="G337" s="16" t="str">
        <f>VLOOKUP(B337,IF(A337="COMPOSICAO",S!$A:$D,I!$A:$D),3,FALSE)</f>
        <v>UN</v>
      </c>
      <c r="H337" s="31">
        <v>6.6699999999999995E-5</v>
      </c>
      <c r="I337" s="17">
        <f>IF(A337="COMPOSICAO",VLOOKUP("TOTAL - "&amp;B337,COMPOSICAO_AUX_3!$A:$J,10,FALSE),VLOOKUP(B337,I!$A:$D,4,FALSE))</f>
        <v>12639.13</v>
      </c>
      <c r="J337" s="80">
        <f>TRUNC(H337*I337,2)</f>
        <v>0.84</v>
      </c>
      <c r="K337" s="81"/>
    </row>
    <row r="338" spans="1:13" ht="15" customHeight="1" x14ac:dyDescent="0.25">
      <c r="A338" s="23" t="s">
        <v>759</v>
      </c>
      <c r="B338" s="24"/>
      <c r="C338" s="24"/>
      <c r="D338" s="24"/>
      <c r="E338" s="24"/>
      <c r="F338" s="24"/>
      <c r="G338" s="25"/>
      <c r="H338" s="26"/>
      <c r="I338" s="27"/>
      <c r="J338" s="80">
        <f>SUM(J336:K337)</f>
        <v>0.84</v>
      </c>
      <c r="K338" s="81"/>
    </row>
    <row r="339" spans="1:13" ht="15" customHeight="1" x14ac:dyDescent="0.25">
      <c r="A339" s="3"/>
      <c r="B339" s="3"/>
      <c r="C339" s="3"/>
      <c r="D339" s="3"/>
      <c r="E339" s="3"/>
      <c r="F339" s="3"/>
      <c r="G339" s="3"/>
      <c r="H339" s="3"/>
      <c r="I339" s="3"/>
      <c r="J339" s="3"/>
      <c r="K339" s="3"/>
    </row>
    <row r="340" spans="1:13" ht="15" customHeight="1" x14ac:dyDescent="0.25">
      <c r="A340" s="10" t="s">
        <v>295</v>
      </c>
      <c r="B340" s="10" t="s">
        <v>31</v>
      </c>
      <c r="C340" s="82" t="s">
        <v>7</v>
      </c>
      <c r="D340" s="83"/>
      <c r="E340" s="83"/>
      <c r="F340" s="83"/>
      <c r="G340" s="6" t="s">
        <v>32</v>
      </c>
      <c r="H340" s="6" t="s">
        <v>296</v>
      </c>
      <c r="I340" s="6" t="s">
        <v>297</v>
      </c>
      <c r="J340" s="57" t="s">
        <v>9</v>
      </c>
      <c r="K340" s="58"/>
    </row>
    <row r="341" spans="1:13" ht="45" customHeight="1" x14ac:dyDescent="0.25">
      <c r="A341" s="6" t="s">
        <v>572</v>
      </c>
      <c r="B341" s="28">
        <v>91532</v>
      </c>
      <c r="C341" s="91" t="str">
        <f>VLOOKUP(B341,S!$A:$D,2,FALSE)</f>
        <v>COMPACTADOR DE SOLOS DE PERCUSSÃO (SOQUETE) COM MOTOR A GASOLINA 4 TEMPOS, POTÊNCIA 4 CV - MATERIAIS NA OPERAÇÃO. AF_08/2015</v>
      </c>
      <c r="D341" s="91"/>
      <c r="E341" s="91"/>
      <c r="F341" s="92"/>
      <c r="G341" s="6" t="str">
        <f>VLOOKUP(B341,S!$A:$D,3,FALSE)</f>
        <v>H</v>
      </c>
      <c r="H341" s="21"/>
      <c r="I341" s="21">
        <f>J343</f>
        <v>6.18</v>
      </c>
      <c r="J341" s="76"/>
      <c r="K341" s="72"/>
      <c r="L341" s="21">
        <f>VLOOKUP(B341,S!$A:$D,4,FALSE)</f>
        <v>6.18</v>
      </c>
      <c r="M341" s="6" t="str">
        <f>IF(ROUND((L341-I341),2)=0,"OK, confere com a tabela.",IF(ROUND((L341-I341),2)&lt;0,"ACIMA ("&amp;TEXT(ROUND(I341*100/L341,4),"0,0000")&amp;" %) da tabela.","ABAIXO ("&amp;TEXT(ROUND(I341*100/L341,4),"0,0000")&amp;" %) da tabela."))</f>
        <v>OK, confere com a tabela.</v>
      </c>
    </row>
    <row r="342" spans="1:13" ht="15" customHeight="1" x14ac:dyDescent="0.25">
      <c r="A342" s="16" t="s">
        <v>306</v>
      </c>
      <c r="B342" s="20">
        <v>4222</v>
      </c>
      <c r="C342" s="77" t="str">
        <f>VLOOKUP(B342,IF(A342="COMPOSICAO",S!$A:$D,I!$A:$D),2,FALSE)</f>
        <v>GASOLINA COMUM</v>
      </c>
      <c r="D342" s="77"/>
      <c r="E342" s="77"/>
      <c r="F342" s="77"/>
      <c r="G342" s="16" t="str">
        <f>VLOOKUP(B342,IF(A342="COMPOSICAO",S!$A:$D,I!$A:$D),3,FALSE)</f>
        <v>L</v>
      </c>
      <c r="H342" s="17">
        <v>1.03</v>
      </c>
      <c r="I342" s="17">
        <f>IF(A342="COMPOSICAO",VLOOKUP("TOTAL - "&amp;B342,COMPOSICAO_AUX_3!$A:$J,10,FALSE),VLOOKUP(B342,I!$A:$D,4,FALSE))</f>
        <v>6</v>
      </c>
      <c r="J342" s="80">
        <f>TRUNC(H342*I342,2)</f>
        <v>6.18</v>
      </c>
      <c r="K342" s="81"/>
    </row>
    <row r="343" spans="1:13" ht="15" customHeight="1" x14ac:dyDescent="0.25">
      <c r="A343" s="23" t="s">
        <v>760</v>
      </c>
      <c r="B343" s="24"/>
      <c r="C343" s="24"/>
      <c r="D343" s="24"/>
      <c r="E343" s="24"/>
      <c r="F343" s="24"/>
      <c r="G343" s="25"/>
      <c r="H343" s="26"/>
      <c r="I343" s="27"/>
      <c r="J343" s="80">
        <f>SUM(J341:K342)</f>
        <v>6.18</v>
      </c>
      <c r="K343" s="81"/>
    </row>
    <row r="344" spans="1:13" ht="15" customHeight="1" x14ac:dyDescent="0.25">
      <c r="A344" s="3"/>
      <c r="B344" s="3"/>
      <c r="C344" s="3"/>
      <c r="D344" s="3"/>
      <c r="E344" s="3"/>
      <c r="F344" s="3"/>
      <c r="G344" s="3"/>
      <c r="H344" s="3"/>
      <c r="I344" s="3"/>
      <c r="J344" s="3"/>
      <c r="K344" s="3"/>
    </row>
    <row r="345" spans="1:13" ht="15" customHeight="1" x14ac:dyDescent="0.25">
      <c r="A345" s="10" t="s">
        <v>295</v>
      </c>
      <c r="B345" s="10" t="s">
        <v>31</v>
      </c>
      <c r="C345" s="82" t="s">
        <v>7</v>
      </c>
      <c r="D345" s="83"/>
      <c r="E345" s="83"/>
      <c r="F345" s="83"/>
      <c r="G345" s="6" t="s">
        <v>32</v>
      </c>
      <c r="H345" s="6" t="s">
        <v>296</v>
      </c>
      <c r="I345" s="6" t="s">
        <v>297</v>
      </c>
      <c r="J345" s="57" t="s">
        <v>9</v>
      </c>
      <c r="K345" s="58"/>
    </row>
    <row r="346" spans="1:13" ht="30" customHeight="1" x14ac:dyDescent="0.25">
      <c r="A346" s="6" t="s">
        <v>502</v>
      </c>
      <c r="B346" s="28">
        <v>88239</v>
      </c>
      <c r="C346" s="91" t="str">
        <f>VLOOKUP(B346,S!$A:$D,2,FALSE)</f>
        <v>AJUDANTE DE CARPINTEIRO COM ENCARGOS COMPLEMENTARES</v>
      </c>
      <c r="D346" s="91"/>
      <c r="E346" s="91"/>
      <c r="F346" s="92"/>
      <c r="G346" s="6" t="str">
        <f>VLOOKUP(B346,S!$A:$D,3,FALSE)</f>
        <v>H</v>
      </c>
      <c r="H346" s="21"/>
      <c r="I346" s="21">
        <f>J355</f>
        <v>16.470000000000002</v>
      </c>
      <c r="J346" s="76"/>
      <c r="K346" s="72"/>
      <c r="L346" s="21">
        <f>VLOOKUP(B346,S!$A:$D,4,FALSE)</f>
        <v>16.47</v>
      </c>
      <c r="M346" s="6" t="str">
        <f>IF(ROUND((L346-I346),2)=0,"OK, confere com a tabela.",IF(ROUND((L346-I346),2)&lt;0,"ACIMA ("&amp;TEXT(ROUND(I346*100/L346,4),"0,0000")&amp;" %) da tabela.","ABAIXO ("&amp;TEXT(ROUND(I346*100/L346,4),"0,0000")&amp;" %) da tabela."))</f>
        <v>OK, confere com a tabela.</v>
      </c>
    </row>
    <row r="347" spans="1:13" ht="15" customHeight="1" x14ac:dyDescent="0.25">
      <c r="A347" s="16" t="s">
        <v>306</v>
      </c>
      <c r="B347" s="20">
        <v>6117</v>
      </c>
      <c r="C347" s="77" t="str">
        <f>VLOOKUP(B347,IF(A347="COMPOSICAO",S!$A:$D,I!$A:$D),2,FALSE)</f>
        <v>CARPINTEIRO AUXILIAR</v>
      </c>
      <c r="D347" s="77"/>
      <c r="E347" s="77"/>
      <c r="F347" s="77"/>
      <c r="G347" s="16" t="str">
        <f>VLOOKUP(B347,IF(A347="COMPOSICAO",S!$A:$D,I!$A:$D),3,FALSE)</f>
        <v>H</v>
      </c>
      <c r="H347" s="17">
        <v>1</v>
      </c>
      <c r="I347" s="17">
        <f>IF(A347="COMPOSICAO",VLOOKUP("TOTAL - "&amp;B347,COMPOSICAO_AUX_3!$A:$J,10,FALSE),VLOOKUP(B347,I!$A:$D,4,FALSE))</f>
        <v>11.75</v>
      </c>
      <c r="J347" s="80">
        <f t="shared" ref="J347:J354" si="12">TRUNC(H347*I347,2)</f>
        <v>11.75</v>
      </c>
      <c r="K347" s="81"/>
    </row>
    <row r="348" spans="1:13" ht="15" customHeight="1" x14ac:dyDescent="0.25">
      <c r="A348" s="16" t="s">
        <v>306</v>
      </c>
      <c r="B348" s="20">
        <v>37370</v>
      </c>
      <c r="C348" s="77" t="str">
        <f>VLOOKUP(B348,IF(A348="COMPOSICAO",S!$A:$D,I!$A:$D),2,FALSE)</f>
        <v>ALIMENTACAO - HORISTA (COLETADO CAIXA)</v>
      </c>
      <c r="D348" s="77"/>
      <c r="E348" s="77"/>
      <c r="F348" s="77"/>
      <c r="G348" s="16" t="str">
        <f>VLOOKUP(B348,IF(A348="COMPOSICAO",S!$A:$D,I!$A:$D),3,FALSE)</f>
        <v>H</v>
      </c>
      <c r="H348" s="17">
        <v>1</v>
      </c>
      <c r="I348" s="17">
        <f>IF(A348="COMPOSICAO",VLOOKUP("TOTAL - "&amp;B348,COMPOSICAO_AUX_3!$A:$J,10,FALSE),VLOOKUP(B348,I!$A:$D,4,FALSE))</f>
        <v>1.86</v>
      </c>
      <c r="J348" s="80">
        <f t="shared" si="12"/>
        <v>1.86</v>
      </c>
      <c r="K348" s="81"/>
    </row>
    <row r="349" spans="1:13" ht="15" customHeight="1" x14ac:dyDescent="0.25">
      <c r="A349" s="16" t="s">
        <v>306</v>
      </c>
      <c r="B349" s="20">
        <v>37371</v>
      </c>
      <c r="C349" s="77" t="str">
        <f>VLOOKUP(B349,IF(A349="COMPOSICAO",S!$A:$D,I!$A:$D),2,FALSE)</f>
        <v>TRANSPORTE - HORISTA (COLETADO CAIXA)</v>
      </c>
      <c r="D349" s="77"/>
      <c r="E349" s="77"/>
      <c r="F349" s="77"/>
      <c r="G349" s="16" t="str">
        <f>VLOOKUP(B349,IF(A349="COMPOSICAO",S!$A:$D,I!$A:$D),3,FALSE)</f>
        <v>H</v>
      </c>
      <c r="H349" s="17">
        <v>1</v>
      </c>
      <c r="I349" s="17">
        <f>IF(A349="COMPOSICAO",VLOOKUP("TOTAL - "&amp;B349,COMPOSICAO_AUX_3!$A:$J,10,FALSE),VLOOKUP(B349,I!$A:$D,4,FALSE))</f>
        <v>0.7</v>
      </c>
      <c r="J349" s="80">
        <f t="shared" si="12"/>
        <v>0.7</v>
      </c>
      <c r="K349" s="81"/>
    </row>
    <row r="350" spans="1:13" ht="15" customHeight="1" x14ac:dyDescent="0.25">
      <c r="A350" s="16" t="s">
        <v>306</v>
      </c>
      <c r="B350" s="20">
        <v>37372</v>
      </c>
      <c r="C350" s="77" t="str">
        <f>VLOOKUP(B350,IF(A350="COMPOSICAO",S!$A:$D,I!$A:$D),2,FALSE)</f>
        <v>EXAMES - HORISTA (COLETADO CAIXA)</v>
      </c>
      <c r="D350" s="77"/>
      <c r="E350" s="77"/>
      <c r="F350" s="77"/>
      <c r="G350" s="16" t="str">
        <f>VLOOKUP(B350,IF(A350="COMPOSICAO",S!$A:$D,I!$A:$D),3,FALSE)</f>
        <v>H</v>
      </c>
      <c r="H350" s="17">
        <v>1</v>
      </c>
      <c r="I350" s="17">
        <f>IF(A350="COMPOSICAO",VLOOKUP("TOTAL - "&amp;B350,COMPOSICAO_AUX_3!$A:$J,10,FALSE),VLOOKUP(B350,I!$A:$D,4,FALSE))</f>
        <v>0.55000000000000004</v>
      </c>
      <c r="J350" s="80">
        <f t="shared" si="12"/>
        <v>0.55000000000000004</v>
      </c>
      <c r="K350" s="81"/>
    </row>
    <row r="351" spans="1:13" ht="15" customHeight="1" x14ac:dyDescent="0.25">
      <c r="A351" s="16" t="s">
        <v>306</v>
      </c>
      <c r="B351" s="20">
        <v>37373</v>
      </c>
      <c r="C351" s="77" t="str">
        <f>VLOOKUP(B351,IF(A351="COMPOSICAO",S!$A:$D,I!$A:$D),2,FALSE)</f>
        <v>SEGURO - HORISTA (COLETADO CAIXA)</v>
      </c>
      <c r="D351" s="77"/>
      <c r="E351" s="77"/>
      <c r="F351" s="77"/>
      <c r="G351" s="16" t="str">
        <f>VLOOKUP(B351,IF(A351="COMPOSICAO",S!$A:$D,I!$A:$D),3,FALSE)</f>
        <v>H</v>
      </c>
      <c r="H351" s="17">
        <v>1</v>
      </c>
      <c r="I351" s="17">
        <f>IF(A351="COMPOSICAO",VLOOKUP("TOTAL - "&amp;B351,COMPOSICAO_AUX_3!$A:$J,10,FALSE),VLOOKUP(B351,I!$A:$D,4,FALSE))</f>
        <v>0.06</v>
      </c>
      <c r="J351" s="80">
        <f t="shared" si="12"/>
        <v>0.06</v>
      </c>
      <c r="K351" s="81"/>
    </row>
    <row r="352" spans="1:13" ht="45" customHeight="1" x14ac:dyDescent="0.25">
      <c r="A352" s="16" t="s">
        <v>306</v>
      </c>
      <c r="B352" s="20">
        <v>43459</v>
      </c>
      <c r="C352" s="77" t="str">
        <f>VLOOKUP(B352,IF(A352="COMPOSICAO",S!$A:$D,I!$A:$D),2,FALSE)</f>
        <v>FERRAMENTAS - FAMILIA CARPINTEIRO DE FORMAS - HORISTA (ENCARGOS COMPLEMENTARES - COLETADO CAIXA)</v>
      </c>
      <c r="D352" s="77"/>
      <c r="E352" s="77"/>
      <c r="F352" s="77"/>
      <c r="G352" s="16" t="str">
        <f>VLOOKUP(B352,IF(A352="COMPOSICAO",S!$A:$D,I!$A:$D),3,FALSE)</f>
        <v>H</v>
      </c>
      <c r="H352" s="17">
        <v>1</v>
      </c>
      <c r="I352" s="17">
        <f>IF(A352="COMPOSICAO",VLOOKUP("TOTAL - "&amp;B352,COMPOSICAO_AUX_3!$A:$J,10,FALSE),VLOOKUP(B352,I!$A:$D,4,FALSE))</f>
        <v>0.38</v>
      </c>
      <c r="J352" s="80">
        <f t="shared" si="12"/>
        <v>0.38</v>
      </c>
      <c r="K352" s="81"/>
    </row>
    <row r="353" spans="1:13" ht="30" customHeight="1" x14ac:dyDescent="0.25">
      <c r="A353" s="16" t="s">
        <v>306</v>
      </c>
      <c r="B353" s="20">
        <v>43483</v>
      </c>
      <c r="C353" s="77" t="str">
        <f>VLOOKUP(B353,IF(A353="COMPOSICAO",S!$A:$D,I!$A:$D),2,FALSE)</f>
        <v>EPI - FAMILIA CARPINTEIRO DE FORMAS - HORISTA (ENCARGOS COMPLEMENTARES - COLETADO CAIXA)</v>
      </c>
      <c r="D353" s="77"/>
      <c r="E353" s="77"/>
      <c r="F353" s="77"/>
      <c r="G353" s="16" t="str">
        <f>VLOOKUP(B353,IF(A353="COMPOSICAO",S!$A:$D,I!$A:$D),3,FALSE)</f>
        <v>H</v>
      </c>
      <c r="H353" s="17">
        <v>1</v>
      </c>
      <c r="I353" s="17">
        <f>IF(A353="COMPOSICAO",VLOOKUP("TOTAL - "&amp;B353,COMPOSICAO_AUX_3!$A:$J,10,FALSE),VLOOKUP(B353,I!$A:$D,4,FALSE))</f>
        <v>1.05</v>
      </c>
      <c r="J353" s="80">
        <f t="shared" si="12"/>
        <v>1.05</v>
      </c>
      <c r="K353" s="81"/>
    </row>
    <row r="354" spans="1:13" ht="30" customHeight="1" x14ac:dyDescent="0.25">
      <c r="A354" s="16" t="s">
        <v>302</v>
      </c>
      <c r="B354" s="20">
        <v>95309</v>
      </c>
      <c r="C354" s="77" t="str">
        <f>VLOOKUP(B354,IF(A354="COMPOSICAO",S!$A:$D,I!$A:$D),2,FALSE)</f>
        <v>CURSO DE CAPACITAÇÃO PARA AJUDANTE DE CARPINTEIRO (ENCARGOS COMPLEMENTARES) - HORISTA</v>
      </c>
      <c r="D354" s="77"/>
      <c r="E354" s="77"/>
      <c r="F354" s="77"/>
      <c r="G354" s="16" t="str">
        <f>VLOOKUP(B354,IF(A354="COMPOSICAO",S!$A:$D,I!$A:$D),3,FALSE)</f>
        <v>H</v>
      </c>
      <c r="H354" s="17">
        <v>1</v>
      </c>
      <c r="I354" s="17">
        <f>IF(A354="COMPOSICAO",VLOOKUP("TOTAL - "&amp;B354,COMPOSICAO_AUX_3!$A:$J,10,FALSE),VLOOKUP(B354,I!$A:$D,4,FALSE))</f>
        <v>0.12</v>
      </c>
      <c r="J354" s="80">
        <f t="shared" si="12"/>
        <v>0.12</v>
      </c>
      <c r="K354" s="81"/>
    </row>
    <row r="355" spans="1:13" ht="15" customHeight="1" x14ac:dyDescent="0.25">
      <c r="A355" s="23" t="s">
        <v>604</v>
      </c>
      <c r="B355" s="24"/>
      <c r="C355" s="24"/>
      <c r="D355" s="24"/>
      <c r="E355" s="24"/>
      <c r="F355" s="24"/>
      <c r="G355" s="25"/>
      <c r="H355" s="26"/>
      <c r="I355" s="27"/>
      <c r="J355" s="80">
        <f>SUM(J346:K354)</f>
        <v>16.470000000000002</v>
      </c>
      <c r="K355" s="81"/>
    </row>
    <row r="356" spans="1:13" ht="15" customHeight="1" x14ac:dyDescent="0.25">
      <c r="A356" s="3"/>
      <c r="B356" s="3"/>
      <c r="C356" s="3"/>
      <c r="D356" s="3"/>
      <c r="E356" s="3"/>
      <c r="F356" s="3"/>
      <c r="G356" s="3"/>
      <c r="H356" s="3"/>
      <c r="I356" s="3"/>
      <c r="J356" s="3"/>
      <c r="K356" s="3"/>
    </row>
    <row r="357" spans="1:13" ht="15" customHeight="1" x14ac:dyDescent="0.25">
      <c r="A357" s="10" t="s">
        <v>295</v>
      </c>
      <c r="B357" s="10" t="s">
        <v>31</v>
      </c>
      <c r="C357" s="82" t="s">
        <v>7</v>
      </c>
      <c r="D357" s="83"/>
      <c r="E357" s="83"/>
      <c r="F357" s="83"/>
      <c r="G357" s="6" t="s">
        <v>32</v>
      </c>
      <c r="H357" s="6" t="s">
        <v>296</v>
      </c>
      <c r="I357" s="6" t="s">
        <v>297</v>
      </c>
      <c r="J357" s="57" t="s">
        <v>9</v>
      </c>
      <c r="K357" s="58"/>
    </row>
    <row r="358" spans="1:13" ht="30" customHeight="1" x14ac:dyDescent="0.25">
      <c r="A358" s="6" t="s">
        <v>502</v>
      </c>
      <c r="B358" s="28">
        <v>88262</v>
      </c>
      <c r="C358" s="91" t="str">
        <f>VLOOKUP(B358,S!$A:$D,2,FALSE)</f>
        <v>CARPINTEIRO DE FORMAS COM ENCARGOS COMPLEMENTARES</v>
      </c>
      <c r="D358" s="91"/>
      <c r="E358" s="91"/>
      <c r="F358" s="92"/>
      <c r="G358" s="6" t="str">
        <f>VLOOKUP(B358,S!$A:$D,3,FALSE)</f>
        <v>H</v>
      </c>
      <c r="H358" s="21"/>
      <c r="I358" s="21">
        <f>J367</f>
        <v>19.649999999999999</v>
      </c>
      <c r="J358" s="76"/>
      <c r="K358" s="72"/>
      <c r="L358" s="21">
        <f>VLOOKUP(B358,S!$A:$D,4,FALSE)</f>
        <v>19.649999999999999</v>
      </c>
      <c r="M358" s="6" t="str">
        <f>IF(ROUND((L358-I358),2)=0,"OK, confere com a tabela.",IF(ROUND((L358-I358),2)&lt;0,"ACIMA ("&amp;TEXT(ROUND(I358*100/L358,4),"0,0000")&amp;" %) da tabela.","ABAIXO ("&amp;TEXT(ROUND(I358*100/L358,4),"0,0000")&amp;" %) da tabela."))</f>
        <v>OK, confere com a tabela.</v>
      </c>
    </row>
    <row r="359" spans="1:13" ht="15" customHeight="1" x14ac:dyDescent="0.25">
      <c r="A359" s="16" t="s">
        <v>306</v>
      </c>
      <c r="B359" s="20">
        <v>1213</v>
      </c>
      <c r="C359" s="77" t="str">
        <f>VLOOKUP(B359,IF(A359="COMPOSICAO",S!$A:$D,I!$A:$D),2,FALSE)</f>
        <v>CARPINTEIRO DE FORMAS</v>
      </c>
      <c r="D359" s="77"/>
      <c r="E359" s="77"/>
      <c r="F359" s="77"/>
      <c r="G359" s="16" t="str">
        <f>VLOOKUP(B359,IF(A359="COMPOSICAO",S!$A:$D,I!$A:$D),3,FALSE)</f>
        <v>H</v>
      </c>
      <c r="H359" s="17">
        <v>1</v>
      </c>
      <c r="I359" s="17">
        <f>IF(A359="COMPOSICAO",VLOOKUP("TOTAL - "&amp;B359,COMPOSICAO_AUX_3!$A:$J,10,FALSE),VLOOKUP(B359,I!$A:$D,4,FALSE))</f>
        <v>14.93</v>
      </c>
      <c r="J359" s="80">
        <f t="shared" ref="J359:J366" si="13">TRUNC(H359*I359,2)</f>
        <v>14.93</v>
      </c>
      <c r="K359" s="81"/>
    </row>
    <row r="360" spans="1:13" ht="15" customHeight="1" x14ac:dyDescent="0.25">
      <c r="A360" s="16" t="s">
        <v>306</v>
      </c>
      <c r="B360" s="20">
        <v>37370</v>
      </c>
      <c r="C360" s="77" t="str">
        <f>VLOOKUP(B360,IF(A360="COMPOSICAO",S!$A:$D,I!$A:$D),2,FALSE)</f>
        <v>ALIMENTACAO - HORISTA (COLETADO CAIXA)</v>
      </c>
      <c r="D360" s="77"/>
      <c r="E360" s="77"/>
      <c r="F360" s="77"/>
      <c r="G360" s="16" t="str">
        <f>VLOOKUP(B360,IF(A360="COMPOSICAO",S!$A:$D,I!$A:$D),3,FALSE)</f>
        <v>H</v>
      </c>
      <c r="H360" s="17">
        <v>1</v>
      </c>
      <c r="I360" s="17">
        <f>IF(A360="COMPOSICAO",VLOOKUP("TOTAL - "&amp;B360,COMPOSICAO_AUX_3!$A:$J,10,FALSE),VLOOKUP(B360,I!$A:$D,4,FALSE))</f>
        <v>1.86</v>
      </c>
      <c r="J360" s="80">
        <f t="shared" si="13"/>
        <v>1.86</v>
      </c>
      <c r="K360" s="81"/>
    </row>
    <row r="361" spans="1:13" ht="15" customHeight="1" x14ac:dyDescent="0.25">
      <c r="A361" s="16" t="s">
        <v>306</v>
      </c>
      <c r="B361" s="20">
        <v>37371</v>
      </c>
      <c r="C361" s="77" t="str">
        <f>VLOOKUP(B361,IF(A361="COMPOSICAO",S!$A:$D,I!$A:$D),2,FALSE)</f>
        <v>TRANSPORTE - HORISTA (COLETADO CAIXA)</v>
      </c>
      <c r="D361" s="77"/>
      <c r="E361" s="77"/>
      <c r="F361" s="77"/>
      <c r="G361" s="16" t="str">
        <f>VLOOKUP(B361,IF(A361="COMPOSICAO",S!$A:$D,I!$A:$D),3,FALSE)</f>
        <v>H</v>
      </c>
      <c r="H361" s="17">
        <v>1</v>
      </c>
      <c r="I361" s="17">
        <f>IF(A361="COMPOSICAO",VLOOKUP("TOTAL - "&amp;B361,COMPOSICAO_AUX_3!$A:$J,10,FALSE),VLOOKUP(B361,I!$A:$D,4,FALSE))</f>
        <v>0.7</v>
      </c>
      <c r="J361" s="80">
        <f t="shared" si="13"/>
        <v>0.7</v>
      </c>
      <c r="K361" s="81"/>
    </row>
    <row r="362" spans="1:13" ht="15" customHeight="1" x14ac:dyDescent="0.25">
      <c r="A362" s="16" t="s">
        <v>306</v>
      </c>
      <c r="B362" s="20">
        <v>37372</v>
      </c>
      <c r="C362" s="77" t="str">
        <f>VLOOKUP(B362,IF(A362="COMPOSICAO",S!$A:$D,I!$A:$D),2,FALSE)</f>
        <v>EXAMES - HORISTA (COLETADO CAIXA)</v>
      </c>
      <c r="D362" s="77"/>
      <c r="E362" s="77"/>
      <c r="F362" s="77"/>
      <c r="G362" s="16" t="str">
        <f>VLOOKUP(B362,IF(A362="COMPOSICAO",S!$A:$D,I!$A:$D),3,FALSE)</f>
        <v>H</v>
      </c>
      <c r="H362" s="17">
        <v>1</v>
      </c>
      <c r="I362" s="17">
        <f>IF(A362="COMPOSICAO",VLOOKUP("TOTAL - "&amp;B362,COMPOSICAO_AUX_3!$A:$J,10,FALSE),VLOOKUP(B362,I!$A:$D,4,FALSE))</f>
        <v>0.55000000000000004</v>
      </c>
      <c r="J362" s="80">
        <f t="shared" si="13"/>
        <v>0.55000000000000004</v>
      </c>
      <c r="K362" s="81"/>
    </row>
    <row r="363" spans="1:13" ht="15" customHeight="1" x14ac:dyDescent="0.25">
      <c r="A363" s="16" t="s">
        <v>306</v>
      </c>
      <c r="B363" s="20">
        <v>37373</v>
      </c>
      <c r="C363" s="77" t="str">
        <f>VLOOKUP(B363,IF(A363="COMPOSICAO",S!$A:$D,I!$A:$D),2,FALSE)</f>
        <v>SEGURO - HORISTA (COLETADO CAIXA)</v>
      </c>
      <c r="D363" s="77"/>
      <c r="E363" s="77"/>
      <c r="F363" s="77"/>
      <c r="G363" s="16" t="str">
        <f>VLOOKUP(B363,IF(A363="COMPOSICAO",S!$A:$D,I!$A:$D),3,FALSE)</f>
        <v>H</v>
      </c>
      <c r="H363" s="17">
        <v>1</v>
      </c>
      <c r="I363" s="17">
        <f>IF(A363="COMPOSICAO",VLOOKUP("TOTAL - "&amp;B363,COMPOSICAO_AUX_3!$A:$J,10,FALSE),VLOOKUP(B363,I!$A:$D,4,FALSE))</f>
        <v>0.06</v>
      </c>
      <c r="J363" s="80">
        <f t="shared" si="13"/>
        <v>0.06</v>
      </c>
      <c r="K363" s="81"/>
    </row>
    <row r="364" spans="1:13" ht="45" customHeight="1" x14ac:dyDescent="0.25">
      <c r="A364" s="16" t="s">
        <v>306</v>
      </c>
      <c r="B364" s="20">
        <v>43459</v>
      </c>
      <c r="C364" s="77" t="str">
        <f>VLOOKUP(B364,IF(A364="COMPOSICAO",S!$A:$D,I!$A:$D),2,FALSE)</f>
        <v>FERRAMENTAS - FAMILIA CARPINTEIRO DE FORMAS - HORISTA (ENCARGOS COMPLEMENTARES - COLETADO CAIXA)</v>
      </c>
      <c r="D364" s="77"/>
      <c r="E364" s="77"/>
      <c r="F364" s="77"/>
      <c r="G364" s="16" t="str">
        <f>VLOOKUP(B364,IF(A364="COMPOSICAO",S!$A:$D,I!$A:$D),3,FALSE)</f>
        <v>H</v>
      </c>
      <c r="H364" s="17">
        <v>1</v>
      </c>
      <c r="I364" s="17">
        <f>IF(A364="COMPOSICAO",VLOOKUP("TOTAL - "&amp;B364,COMPOSICAO_AUX_3!$A:$J,10,FALSE),VLOOKUP(B364,I!$A:$D,4,FALSE))</f>
        <v>0.38</v>
      </c>
      <c r="J364" s="80">
        <f t="shared" si="13"/>
        <v>0.38</v>
      </c>
      <c r="K364" s="81"/>
    </row>
    <row r="365" spans="1:13" ht="30" customHeight="1" x14ac:dyDescent="0.25">
      <c r="A365" s="16" t="s">
        <v>306</v>
      </c>
      <c r="B365" s="20">
        <v>43483</v>
      </c>
      <c r="C365" s="77" t="str">
        <f>VLOOKUP(B365,IF(A365="COMPOSICAO",S!$A:$D,I!$A:$D),2,FALSE)</f>
        <v>EPI - FAMILIA CARPINTEIRO DE FORMAS - HORISTA (ENCARGOS COMPLEMENTARES - COLETADO CAIXA)</v>
      </c>
      <c r="D365" s="77"/>
      <c r="E365" s="77"/>
      <c r="F365" s="77"/>
      <c r="G365" s="16" t="str">
        <f>VLOOKUP(B365,IF(A365="COMPOSICAO",S!$A:$D,I!$A:$D),3,FALSE)</f>
        <v>H</v>
      </c>
      <c r="H365" s="17">
        <v>1</v>
      </c>
      <c r="I365" s="17">
        <f>IF(A365="COMPOSICAO",VLOOKUP("TOTAL - "&amp;B365,COMPOSICAO_AUX_3!$A:$J,10,FALSE),VLOOKUP(B365,I!$A:$D,4,FALSE))</f>
        <v>1.05</v>
      </c>
      <c r="J365" s="80">
        <f t="shared" si="13"/>
        <v>1.05</v>
      </c>
      <c r="K365" s="81"/>
    </row>
    <row r="366" spans="1:13" ht="30" customHeight="1" x14ac:dyDescent="0.25">
      <c r="A366" s="16" t="s">
        <v>302</v>
      </c>
      <c r="B366" s="20">
        <v>95330</v>
      </c>
      <c r="C366" s="77" t="str">
        <f>VLOOKUP(B366,IF(A366="COMPOSICAO",S!$A:$D,I!$A:$D),2,FALSE)</f>
        <v>CURSO DE CAPACITAÇÃO PARA CARPINTEIRO DE FÔRMAS (ENCARGOS COMPLEMENTARES) - HORISTA</v>
      </c>
      <c r="D366" s="77"/>
      <c r="E366" s="77"/>
      <c r="F366" s="77"/>
      <c r="G366" s="16" t="str">
        <f>VLOOKUP(B366,IF(A366="COMPOSICAO",S!$A:$D,I!$A:$D),3,FALSE)</f>
        <v>H</v>
      </c>
      <c r="H366" s="17">
        <v>1</v>
      </c>
      <c r="I366" s="17">
        <f>IF(A366="COMPOSICAO",VLOOKUP("TOTAL - "&amp;B366,COMPOSICAO_AUX_3!$A:$J,10,FALSE),VLOOKUP(B366,I!$A:$D,4,FALSE))</f>
        <v>0.12</v>
      </c>
      <c r="J366" s="80">
        <f t="shared" si="13"/>
        <v>0.12</v>
      </c>
      <c r="K366" s="81"/>
    </row>
    <row r="367" spans="1:13" ht="15" customHeight="1" x14ac:dyDescent="0.25">
      <c r="A367" s="23" t="s">
        <v>507</v>
      </c>
      <c r="B367" s="24"/>
      <c r="C367" s="24"/>
      <c r="D367" s="24"/>
      <c r="E367" s="24"/>
      <c r="F367" s="24"/>
      <c r="G367" s="25"/>
      <c r="H367" s="26"/>
      <c r="I367" s="27"/>
      <c r="J367" s="80">
        <f>SUM(J358:K366)</f>
        <v>19.649999999999999</v>
      </c>
      <c r="K367" s="81"/>
    </row>
    <row r="368" spans="1:13" ht="15" customHeight="1" x14ac:dyDescent="0.25">
      <c r="A368" s="3"/>
      <c r="B368" s="3"/>
      <c r="C368" s="3"/>
      <c r="D368" s="3"/>
      <c r="E368" s="3"/>
      <c r="F368" s="3"/>
      <c r="G368" s="3"/>
      <c r="H368" s="3"/>
      <c r="I368" s="3"/>
      <c r="J368" s="3"/>
      <c r="K368" s="3"/>
    </row>
    <row r="369" spans="1:13" ht="15" customHeight="1" x14ac:dyDescent="0.25">
      <c r="A369" s="10" t="s">
        <v>295</v>
      </c>
      <c r="B369" s="10" t="s">
        <v>31</v>
      </c>
      <c r="C369" s="82" t="s">
        <v>7</v>
      </c>
      <c r="D369" s="83"/>
      <c r="E369" s="83"/>
      <c r="F369" s="83"/>
      <c r="G369" s="6" t="s">
        <v>32</v>
      </c>
      <c r="H369" s="6" t="s">
        <v>296</v>
      </c>
      <c r="I369" s="6" t="s">
        <v>297</v>
      </c>
      <c r="J369" s="57" t="s">
        <v>9</v>
      </c>
      <c r="K369" s="58"/>
    </row>
    <row r="370" spans="1:13" ht="45" customHeight="1" x14ac:dyDescent="0.25">
      <c r="A370" s="6" t="s">
        <v>363</v>
      </c>
      <c r="B370" s="28">
        <v>92263</v>
      </c>
      <c r="C370" s="91" t="str">
        <f>VLOOKUP(B370,S!$A:$D,2,FALSE)</f>
        <v>FABRICAÇÃO DE FÔRMA PARA PILARES E ESTRUTURAS SIMILARES, EM CHAPA DE MADEIRA COMPENSADA RESINADA, E = 17 MM. AF_09/2020</v>
      </c>
      <c r="D370" s="91"/>
      <c r="E370" s="91"/>
      <c r="F370" s="92"/>
      <c r="G370" s="6" t="str">
        <f>VLOOKUP(B370,S!$A:$D,3,FALSE)</f>
        <v>M2</v>
      </c>
      <c r="H370" s="21"/>
      <c r="I370" s="21">
        <f>J379</f>
        <v>121.33</v>
      </c>
      <c r="J370" s="76"/>
      <c r="K370" s="72"/>
      <c r="L370" s="21">
        <f>VLOOKUP(B370,S!$A:$D,4,FALSE)</f>
        <v>121.33</v>
      </c>
      <c r="M370" s="6" t="str">
        <f>IF(ROUND((L370-I370),2)=0,"OK, confere com a tabela.",IF(ROUND((L370-I370),2)&lt;0,"ACIMA ("&amp;TEXT(ROUND(I370*100/L370,4),"0,0000")&amp;" %) da tabela.","ABAIXO ("&amp;TEXT(ROUND(I370*100/L370,4),"0,0000")&amp;" %) da tabela."))</f>
        <v>OK, confere com a tabela.</v>
      </c>
    </row>
    <row r="371" spans="1:13" ht="30" customHeight="1" x14ac:dyDescent="0.25">
      <c r="A371" s="16" t="s">
        <v>306</v>
      </c>
      <c r="B371" s="20">
        <v>1358</v>
      </c>
      <c r="C371" s="77" t="str">
        <f>VLOOKUP(B371,IF(A371="COMPOSICAO",S!$A:$D,I!$A:$D),2,FALSE)</f>
        <v>CHAPA DE MADEIRA COMPENSADA RESINADA PARA FORMA DE CONCRETO, DE *2,2 X 1,1* M, E = 17 MM</v>
      </c>
      <c r="D371" s="77"/>
      <c r="E371" s="77"/>
      <c r="F371" s="77"/>
      <c r="G371" s="16" t="str">
        <f>VLOOKUP(B371,IF(A371="COMPOSICAO",S!$A:$D,I!$A:$D),3,FALSE)</f>
        <v>M2</v>
      </c>
      <c r="H371" s="30">
        <v>1.3360000000000001</v>
      </c>
      <c r="I371" s="17">
        <f>IF(A371="COMPOSICAO",VLOOKUP("TOTAL - "&amp;B371,COMPOSICAO_AUX_3!$A:$J,10,FALSE),VLOOKUP(B371,I!$A:$D,4,FALSE))</f>
        <v>33.96</v>
      </c>
      <c r="J371" s="80">
        <f t="shared" ref="J371:J378" si="14">TRUNC(H371*I371,2)</f>
        <v>45.37</v>
      </c>
      <c r="K371" s="81"/>
    </row>
    <row r="372" spans="1:13" ht="30" customHeight="1" x14ac:dyDescent="0.25">
      <c r="A372" s="16" t="s">
        <v>306</v>
      </c>
      <c r="B372" s="20">
        <v>4491</v>
      </c>
      <c r="C372" s="77" t="str">
        <f>VLOOKUP(B372,IF(A372="COMPOSICAO",S!$A:$D,I!$A:$D),2,FALSE)</f>
        <v>PONTALETE *7,5 X 7,5* CM EM PINUS, MISTA OU EQUIVALENTE DA REGIAO - BRUTA</v>
      </c>
      <c r="D372" s="77"/>
      <c r="E372" s="77"/>
      <c r="F372" s="77"/>
      <c r="G372" s="16" t="str">
        <f>VLOOKUP(B372,IF(A372="COMPOSICAO",S!$A:$D,I!$A:$D),3,FALSE)</f>
        <v>M</v>
      </c>
      <c r="H372" s="30">
        <v>2.3079999999999998</v>
      </c>
      <c r="I372" s="17">
        <f>IF(A372="COMPOSICAO",VLOOKUP("TOTAL - "&amp;B372,COMPOSICAO_AUX_3!$A:$J,10,FALSE),VLOOKUP(B372,I!$A:$D,4,FALSE))</f>
        <v>6.67</v>
      </c>
      <c r="J372" s="80">
        <f t="shared" si="14"/>
        <v>15.39</v>
      </c>
      <c r="K372" s="81"/>
    </row>
    <row r="373" spans="1:13" ht="30" customHeight="1" x14ac:dyDescent="0.25">
      <c r="A373" s="16" t="s">
        <v>306</v>
      </c>
      <c r="B373" s="20">
        <v>4517</v>
      </c>
      <c r="C373" s="77" t="str">
        <f>VLOOKUP(B373,IF(A373="COMPOSICAO",S!$A:$D,I!$A:$D),2,FALSE)</f>
        <v>SARRAFO *2,5 X 7,5* CM EM PINUS, MISTA OU EQUIVALENTE DA REGIAO - BRUTA</v>
      </c>
      <c r="D373" s="77"/>
      <c r="E373" s="77"/>
      <c r="F373" s="77"/>
      <c r="G373" s="16" t="str">
        <f>VLOOKUP(B373,IF(A373="COMPOSICAO",S!$A:$D,I!$A:$D),3,FALSE)</f>
        <v>M</v>
      </c>
      <c r="H373" s="30">
        <v>9.2370000000000001</v>
      </c>
      <c r="I373" s="17">
        <f>IF(A373="COMPOSICAO",VLOOKUP("TOTAL - "&amp;B373,COMPOSICAO_AUX_3!$A:$J,10,FALSE),VLOOKUP(B373,I!$A:$D,4,FALSE))</f>
        <v>2.33</v>
      </c>
      <c r="J373" s="80">
        <f t="shared" si="14"/>
        <v>21.52</v>
      </c>
      <c r="K373" s="81"/>
    </row>
    <row r="374" spans="1:13" ht="30" customHeight="1" x14ac:dyDescent="0.25">
      <c r="A374" s="16" t="s">
        <v>306</v>
      </c>
      <c r="B374" s="20">
        <v>5068</v>
      </c>
      <c r="C374" s="77" t="str">
        <f>VLOOKUP(B374,IF(A374="COMPOSICAO",S!$A:$D,I!$A:$D),2,FALSE)</f>
        <v>PREGO DE ACO POLIDO COM CABECA 17 X 21 (2 X 11)</v>
      </c>
      <c r="D374" s="77"/>
      <c r="E374" s="77"/>
      <c r="F374" s="77"/>
      <c r="G374" s="16" t="str">
        <f>VLOOKUP(B374,IF(A374="COMPOSICAO",S!$A:$D,I!$A:$D),3,FALSE)</f>
        <v>KG</v>
      </c>
      <c r="H374" s="30">
        <v>0.20799999999999999</v>
      </c>
      <c r="I374" s="17">
        <f>IF(A374="COMPOSICAO",VLOOKUP("TOTAL - "&amp;B374,COMPOSICAO_AUX_3!$A:$J,10,FALSE),VLOOKUP(B374,I!$A:$D,4,FALSE))</f>
        <v>19.329999999999998</v>
      </c>
      <c r="J374" s="80">
        <f t="shared" si="14"/>
        <v>4.0199999999999996</v>
      </c>
      <c r="K374" s="81"/>
    </row>
    <row r="375" spans="1:13" ht="30" customHeight="1" x14ac:dyDescent="0.25">
      <c r="A375" s="16" t="s">
        <v>302</v>
      </c>
      <c r="B375" s="20">
        <v>88239</v>
      </c>
      <c r="C375" s="77" t="str">
        <f>VLOOKUP(B375,IF(A375="COMPOSICAO",S!$A:$D,I!$A:$D),2,FALSE)</f>
        <v>AJUDANTE DE CARPINTEIRO COM ENCARGOS COMPLEMENTARES</v>
      </c>
      <c r="D375" s="77"/>
      <c r="E375" s="77"/>
      <c r="F375" s="77"/>
      <c r="G375" s="16" t="str">
        <f>VLOOKUP(B375,IF(A375="COMPOSICAO",S!$A:$D,I!$A:$D),3,FALSE)</f>
        <v>H</v>
      </c>
      <c r="H375" s="17">
        <v>0.25</v>
      </c>
      <c r="I375" s="17">
        <f>IF(A375="COMPOSICAO",VLOOKUP("TOTAL - "&amp;B375,COMPOSICAO_AUX_3!$A:$J,10,FALSE),VLOOKUP(B375,I!$A:$D,4,FALSE))</f>
        <v>16.470000000000002</v>
      </c>
      <c r="J375" s="80">
        <f t="shared" si="14"/>
        <v>4.1100000000000003</v>
      </c>
      <c r="K375" s="81"/>
    </row>
    <row r="376" spans="1:13" ht="30" customHeight="1" x14ac:dyDescent="0.25">
      <c r="A376" s="16" t="s">
        <v>302</v>
      </c>
      <c r="B376" s="20">
        <v>88262</v>
      </c>
      <c r="C376" s="77" t="str">
        <f>VLOOKUP(B376,IF(A376="COMPOSICAO",S!$A:$D,I!$A:$D),2,FALSE)</f>
        <v>CARPINTEIRO DE FORMAS COM ENCARGOS COMPLEMENTARES</v>
      </c>
      <c r="D376" s="77"/>
      <c r="E376" s="77"/>
      <c r="F376" s="77"/>
      <c r="G376" s="16" t="str">
        <f>VLOOKUP(B376,IF(A376="COMPOSICAO",S!$A:$D,I!$A:$D),3,FALSE)</f>
        <v>H</v>
      </c>
      <c r="H376" s="30">
        <v>1.248</v>
      </c>
      <c r="I376" s="17">
        <f>IF(A376="COMPOSICAO",VLOOKUP("TOTAL - "&amp;B376,COMPOSICAO_AUX_3!$A:$J,10,FALSE),VLOOKUP(B376,I!$A:$D,4,FALSE))</f>
        <v>19.649999999999999</v>
      </c>
      <c r="J376" s="80">
        <f t="shared" si="14"/>
        <v>24.52</v>
      </c>
      <c r="K376" s="81"/>
    </row>
    <row r="377" spans="1:13" ht="45" customHeight="1" x14ac:dyDescent="0.25">
      <c r="A377" s="16" t="s">
        <v>302</v>
      </c>
      <c r="B377" s="20">
        <v>91692</v>
      </c>
      <c r="C377" s="77" t="str">
        <f>VLOOKUP(B377,IF(A377="COMPOSICAO",S!$A:$D,I!$A:$D),2,FALSE)</f>
        <v>SERRA CIRCULAR DE BANCADA COM MOTOR ELÉTRICO POTÊNCIA DE 5HP, COM COIFA PARA DISCO 10" - CHP DIURNO. AF_08/2015</v>
      </c>
      <c r="D377" s="77"/>
      <c r="E377" s="77"/>
      <c r="F377" s="77"/>
      <c r="G377" s="16" t="str">
        <f>VLOOKUP(B377,IF(A377="COMPOSICAO",S!$A:$D,I!$A:$D),3,FALSE)</f>
        <v>CHP</v>
      </c>
      <c r="H377" s="30">
        <v>6.3E-2</v>
      </c>
      <c r="I377" s="17">
        <f>IF(A377="COMPOSICAO",VLOOKUP("TOTAL - "&amp;B377,COMPOSICAO_AUX_3!$A:$J,10,FALSE),VLOOKUP(B377,I!$A:$D,4,FALSE))</f>
        <v>27.599999999999998</v>
      </c>
      <c r="J377" s="80">
        <f t="shared" si="14"/>
        <v>1.73</v>
      </c>
      <c r="K377" s="81"/>
    </row>
    <row r="378" spans="1:13" ht="45" customHeight="1" x14ac:dyDescent="0.25">
      <c r="A378" s="16" t="s">
        <v>302</v>
      </c>
      <c r="B378" s="20">
        <v>91693</v>
      </c>
      <c r="C378" s="77" t="str">
        <f>VLOOKUP(B378,IF(A378="COMPOSICAO",S!$A:$D,I!$A:$D),2,FALSE)</f>
        <v>SERRA CIRCULAR DE BANCADA COM MOTOR ELÉTRICO POTÊNCIA DE 5HP, COM COIFA PARA DISCO 10" - CHI DIURNO. AF_08/2015</v>
      </c>
      <c r="D378" s="77"/>
      <c r="E378" s="77"/>
      <c r="F378" s="77"/>
      <c r="G378" s="16" t="str">
        <f>VLOOKUP(B378,IF(A378="COMPOSICAO",S!$A:$D,I!$A:$D),3,FALSE)</f>
        <v>CHI</v>
      </c>
      <c r="H378" s="30">
        <v>0.186</v>
      </c>
      <c r="I378" s="17">
        <f>IF(A378="COMPOSICAO",VLOOKUP("TOTAL - "&amp;B378,COMPOSICAO_AUX_3!$A:$J,10,FALSE),VLOOKUP(B378,I!$A:$D,4,FALSE))</f>
        <v>25.14</v>
      </c>
      <c r="J378" s="80">
        <f t="shared" si="14"/>
        <v>4.67</v>
      </c>
      <c r="K378" s="81"/>
    </row>
    <row r="379" spans="1:13" ht="15" customHeight="1" x14ac:dyDescent="0.25">
      <c r="A379" s="23" t="s">
        <v>761</v>
      </c>
      <c r="B379" s="24"/>
      <c r="C379" s="24"/>
      <c r="D379" s="24"/>
      <c r="E379" s="24"/>
      <c r="F379" s="24"/>
      <c r="G379" s="25"/>
      <c r="H379" s="26"/>
      <c r="I379" s="27"/>
      <c r="J379" s="80">
        <f>SUM(J370:K378)</f>
        <v>121.33</v>
      </c>
      <c r="K379" s="81"/>
    </row>
    <row r="380" spans="1:13" ht="15" customHeight="1" x14ac:dyDescent="0.25">
      <c r="A380" s="3"/>
      <c r="B380" s="3"/>
      <c r="C380" s="3"/>
      <c r="D380" s="3"/>
      <c r="E380" s="3"/>
      <c r="F380" s="3"/>
      <c r="G380" s="3"/>
      <c r="H380" s="3"/>
      <c r="I380" s="3"/>
      <c r="J380" s="3"/>
      <c r="K380" s="3"/>
    </row>
    <row r="381" spans="1:13" ht="15" customHeight="1" x14ac:dyDescent="0.25">
      <c r="A381" s="10" t="s">
        <v>295</v>
      </c>
      <c r="B381" s="10" t="s">
        <v>31</v>
      </c>
      <c r="C381" s="82" t="s">
        <v>7</v>
      </c>
      <c r="D381" s="83"/>
      <c r="E381" s="83"/>
      <c r="F381" s="83"/>
      <c r="G381" s="6" t="s">
        <v>32</v>
      </c>
      <c r="H381" s="6" t="s">
        <v>296</v>
      </c>
      <c r="I381" s="6" t="s">
        <v>297</v>
      </c>
      <c r="J381" s="57" t="s">
        <v>9</v>
      </c>
      <c r="K381" s="58"/>
    </row>
    <row r="382" spans="1:13" ht="45" customHeight="1" x14ac:dyDescent="0.25">
      <c r="A382" s="6" t="s">
        <v>363</v>
      </c>
      <c r="B382" s="28">
        <v>92265</v>
      </c>
      <c r="C382" s="91" t="str">
        <f>VLOOKUP(B382,S!$A:$D,2,FALSE)</f>
        <v>FABRICAÇÃO DE FÔRMA PARA VIGAS, EM CHAPA DE MADEIRA COMPENSADA RESINADA, E = 17 MM. AF_09/2020</v>
      </c>
      <c r="D382" s="91"/>
      <c r="E382" s="91"/>
      <c r="F382" s="92"/>
      <c r="G382" s="6" t="str">
        <f>VLOOKUP(B382,S!$A:$D,3,FALSE)</f>
        <v>M2</v>
      </c>
      <c r="H382" s="21"/>
      <c r="I382" s="21">
        <f>J391</f>
        <v>87.669999999999987</v>
      </c>
      <c r="J382" s="76"/>
      <c r="K382" s="72"/>
      <c r="L382" s="21">
        <f>VLOOKUP(B382,S!$A:$D,4,FALSE)</f>
        <v>87.67</v>
      </c>
      <c r="M382" s="6" t="str">
        <f>IF(ROUND((L382-I382),2)=0,"OK, confere com a tabela.",IF(ROUND((L382-I382),2)&lt;0,"ACIMA ("&amp;TEXT(ROUND(I382*100/L382,4),"0,0000")&amp;" %) da tabela.","ABAIXO ("&amp;TEXT(ROUND(I382*100/L382,4),"0,0000")&amp;" %) da tabela."))</f>
        <v>OK, confere com a tabela.</v>
      </c>
    </row>
    <row r="383" spans="1:13" ht="30" customHeight="1" x14ac:dyDescent="0.25">
      <c r="A383" s="16" t="s">
        <v>306</v>
      </c>
      <c r="B383" s="20">
        <v>1358</v>
      </c>
      <c r="C383" s="77" t="str">
        <f>VLOOKUP(B383,IF(A383="COMPOSICAO",S!$A:$D,I!$A:$D),2,FALSE)</f>
        <v>CHAPA DE MADEIRA COMPENSADA RESINADA PARA FORMA DE CONCRETO, DE *2,2 X 1,1* M, E = 17 MM</v>
      </c>
      <c r="D383" s="77"/>
      <c r="E383" s="77"/>
      <c r="F383" s="77"/>
      <c r="G383" s="16" t="str">
        <f>VLOOKUP(B383,IF(A383="COMPOSICAO",S!$A:$D,I!$A:$D),3,FALSE)</f>
        <v>M2</v>
      </c>
      <c r="H383" s="30">
        <v>1.1459999999999999</v>
      </c>
      <c r="I383" s="17">
        <f>IF(A383="COMPOSICAO",VLOOKUP("TOTAL - "&amp;B383,COMPOSICAO_AUX_3!$A:$J,10,FALSE),VLOOKUP(B383,I!$A:$D,4,FALSE))</f>
        <v>33.96</v>
      </c>
      <c r="J383" s="80">
        <f t="shared" ref="J383:J390" si="15">TRUNC(H383*I383,2)</f>
        <v>38.909999999999997</v>
      </c>
      <c r="K383" s="81"/>
    </row>
    <row r="384" spans="1:13" ht="30" customHeight="1" x14ac:dyDescent="0.25">
      <c r="A384" s="16" t="s">
        <v>306</v>
      </c>
      <c r="B384" s="20">
        <v>4491</v>
      </c>
      <c r="C384" s="77" t="str">
        <f>VLOOKUP(B384,IF(A384="COMPOSICAO",S!$A:$D,I!$A:$D),2,FALSE)</f>
        <v>PONTALETE *7,5 X 7,5* CM EM PINUS, MISTA OU EQUIVALENTE DA REGIAO - BRUTA</v>
      </c>
      <c r="D384" s="77"/>
      <c r="E384" s="77"/>
      <c r="F384" s="77"/>
      <c r="G384" s="16" t="str">
        <f>VLOOKUP(B384,IF(A384="COMPOSICAO",S!$A:$D,I!$A:$D),3,FALSE)</f>
        <v>M</v>
      </c>
      <c r="H384" s="30">
        <v>0.16600000000000001</v>
      </c>
      <c r="I384" s="17">
        <f>IF(A384="COMPOSICAO",VLOOKUP("TOTAL - "&amp;B384,COMPOSICAO_AUX_3!$A:$J,10,FALSE),VLOOKUP(B384,I!$A:$D,4,FALSE))</f>
        <v>6.67</v>
      </c>
      <c r="J384" s="80">
        <f t="shared" si="15"/>
        <v>1.1000000000000001</v>
      </c>
      <c r="K384" s="81"/>
    </row>
    <row r="385" spans="1:13" ht="30" customHeight="1" x14ac:dyDescent="0.25">
      <c r="A385" s="16" t="s">
        <v>306</v>
      </c>
      <c r="B385" s="20">
        <v>4517</v>
      </c>
      <c r="C385" s="77" t="str">
        <f>VLOOKUP(B385,IF(A385="COMPOSICAO",S!$A:$D,I!$A:$D),2,FALSE)</f>
        <v>SARRAFO *2,5 X 7,5* CM EM PINUS, MISTA OU EQUIVALENTE DA REGIAO - BRUTA</v>
      </c>
      <c r="D385" s="77"/>
      <c r="E385" s="77"/>
      <c r="F385" s="77"/>
      <c r="G385" s="16" t="str">
        <f>VLOOKUP(B385,IF(A385="COMPOSICAO",S!$A:$D,I!$A:$D),3,FALSE)</f>
        <v>M</v>
      </c>
      <c r="H385" s="30">
        <v>6.952</v>
      </c>
      <c r="I385" s="17">
        <f>IF(A385="COMPOSICAO",VLOOKUP("TOTAL - "&amp;B385,COMPOSICAO_AUX_3!$A:$J,10,FALSE),VLOOKUP(B385,I!$A:$D,4,FALSE))</f>
        <v>2.33</v>
      </c>
      <c r="J385" s="80">
        <f t="shared" si="15"/>
        <v>16.190000000000001</v>
      </c>
      <c r="K385" s="81"/>
    </row>
    <row r="386" spans="1:13" ht="30" customHeight="1" x14ac:dyDescent="0.25">
      <c r="A386" s="16" t="s">
        <v>306</v>
      </c>
      <c r="B386" s="20">
        <v>5068</v>
      </c>
      <c r="C386" s="77" t="str">
        <f>VLOOKUP(B386,IF(A386="COMPOSICAO",S!$A:$D,I!$A:$D),2,FALSE)</f>
        <v>PREGO DE ACO POLIDO COM CABECA 17 X 21 (2 X 11)</v>
      </c>
      <c r="D386" s="77"/>
      <c r="E386" s="77"/>
      <c r="F386" s="77"/>
      <c r="G386" s="16" t="str">
        <f>VLOOKUP(B386,IF(A386="COMPOSICAO",S!$A:$D,I!$A:$D),3,FALSE)</f>
        <v>KG</v>
      </c>
      <c r="H386" s="30">
        <v>0.159</v>
      </c>
      <c r="I386" s="17">
        <f>IF(A386="COMPOSICAO",VLOOKUP("TOTAL - "&amp;B386,COMPOSICAO_AUX_3!$A:$J,10,FALSE),VLOOKUP(B386,I!$A:$D,4,FALSE))</f>
        <v>19.329999999999998</v>
      </c>
      <c r="J386" s="80">
        <f t="shared" si="15"/>
        <v>3.07</v>
      </c>
      <c r="K386" s="81"/>
    </row>
    <row r="387" spans="1:13" ht="30" customHeight="1" x14ac:dyDescent="0.25">
      <c r="A387" s="16" t="s">
        <v>302</v>
      </c>
      <c r="B387" s="20">
        <v>88239</v>
      </c>
      <c r="C387" s="77" t="str">
        <f>VLOOKUP(B387,IF(A387="COMPOSICAO",S!$A:$D,I!$A:$D),2,FALSE)</f>
        <v>AJUDANTE DE CARPINTEIRO COM ENCARGOS COMPLEMENTARES</v>
      </c>
      <c r="D387" s="77"/>
      <c r="E387" s="77"/>
      <c r="F387" s="77"/>
      <c r="G387" s="16" t="str">
        <f>VLOOKUP(B387,IF(A387="COMPOSICAO",S!$A:$D,I!$A:$D),3,FALSE)</f>
        <v>H</v>
      </c>
      <c r="H387" s="30">
        <v>0.20200000000000001</v>
      </c>
      <c r="I387" s="17">
        <f>IF(A387="COMPOSICAO",VLOOKUP("TOTAL - "&amp;B387,COMPOSICAO_AUX_3!$A:$J,10,FALSE),VLOOKUP(B387,I!$A:$D,4,FALSE))</f>
        <v>16.470000000000002</v>
      </c>
      <c r="J387" s="80">
        <f t="shared" si="15"/>
        <v>3.32</v>
      </c>
      <c r="K387" s="81"/>
    </row>
    <row r="388" spans="1:13" ht="30" customHeight="1" x14ac:dyDescent="0.25">
      <c r="A388" s="16" t="s">
        <v>302</v>
      </c>
      <c r="B388" s="20">
        <v>88262</v>
      </c>
      <c r="C388" s="77" t="str">
        <f>VLOOKUP(B388,IF(A388="COMPOSICAO",S!$A:$D,I!$A:$D),2,FALSE)</f>
        <v>CARPINTEIRO DE FORMAS COM ENCARGOS COMPLEMENTARES</v>
      </c>
      <c r="D388" s="77"/>
      <c r="E388" s="77"/>
      <c r="F388" s="77"/>
      <c r="G388" s="16" t="str">
        <f>VLOOKUP(B388,IF(A388="COMPOSICAO",S!$A:$D,I!$A:$D),3,FALSE)</f>
        <v>H</v>
      </c>
      <c r="H388" s="30">
        <v>1.012</v>
      </c>
      <c r="I388" s="17">
        <f>IF(A388="COMPOSICAO",VLOOKUP("TOTAL - "&amp;B388,COMPOSICAO_AUX_3!$A:$J,10,FALSE),VLOOKUP(B388,I!$A:$D,4,FALSE))</f>
        <v>19.649999999999999</v>
      </c>
      <c r="J388" s="80">
        <f t="shared" si="15"/>
        <v>19.88</v>
      </c>
      <c r="K388" s="81"/>
    </row>
    <row r="389" spans="1:13" ht="45" customHeight="1" x14ac:dyDescent="0.25">
      <c r="A389" s="16" t="s">
        <v>302</v>
      </c>
      <c r="B389" s="20">
        <v>91692</v>
      </c>
      <c r="C389" s="77" t="str">
        <f>VLOOKUP(B389,IF(A389="COMPOSICAO",S!$A:$D,I!$A:$D),2,FALSE)</f>
        <v>SERRA CIRCULAR DE BANCADA COM MOTOR ELÉTRICO POTÊNCIA DE 5HP, COM COIFA PARA DISCO 10" - CHP DIURNO. AF_08/2015</v>
      </c>
      <c r="D389" s="77"/>
      <c r="E389" s="77"/>
      <c r="F389" s="77"/>
      <c r="G389" s="16" t="str">
        <f>VLOOKUP(B389,IF(A389="COMPOSICAO",S!$A:$D,I!$A:$D),3,FALSE)</f>
        <v>CHP</v>
      </c>
      <c r="H389" s="17">
        <v>0.05</v>
      </c>
      <c r="I389" s="17">
        <f>IF(A389="COMPOSICAO",VLOOKUP("TOTAL - "&amp;B389,COMPOSICAO_AUX_3!$A:$J,10,FALSE),VLOOKUP(B389,I!$A:$D,4,FALSE))</f>
        <v>27.599999999999998</v>
      </c>
      <c r="J389" s="80">
        <f t="shared" si="15"/>
        <v>1.38</v>
      </c>
      <c r="K389" s="81"/>
    </row>
    <row r="390" spans="1:13" ht="45" customHeight="1" x14ac:dyDescent="0.25">
      <c r="A390" s="16" t="s">
        <v>302</v>
      </c>
      <c r="B390" s="20">
        <v>91693</v>
      </c>
      <c r="C390" s="77" t="str">
        <f>VLOOKUP(B390,IF(A390="COMPOSICAO",S!$A:$D,I!$A:$D),2,FALSE)</f>
        <v>SERRA CIRCULAR DE BANCADA COM MOTOR ELÉTRICO POTÊNCIA DE 5HP, COM COIFA PARA DISCO 10" - CHI DIURNO. AF_08/2015</v>
      </c>
      <c r="D390" s="77"/>
      <c r="E390" s="77"/>
      <c r="F390" s="77"/>
      <c r="G390" s="16" t="str">
        <f>VLOOKUP(B390,IF(A390="COMPOSICAO",S!$A:$D,I!$A:$D),3,FALSE)</f>
        <v>CHI</v>
      </c>
      <c r="H390" s="30">
        <v>0.152</v>
      </c>
      <c r="I390" s="17">
        <f>IF(A390="COMPOSICAO",VLOOKUP("TOTAL - "&amp;B390,COMPOSICAO_AUX_3!$A:$J,10,FALSE),VLOOKUP(B390,I!$A:$D,4,FALSE))</f>
        <v>25.14</v>
      </c>
      <c r="J390" s="80">
        <f t="shared" si="15"/>
        <v>3.82</v>
      </c>
      <c r="K390" s="81"/>
    </row>
    <row r="391" spans="1:13" ht="15" customHeight="1" x14ac:dyDescent="0.25">
      <c r="A391" s="23" t="s">
        <v>762</v>
      </c>
      <c r="B391" s="24"/>
      <c r="C391" s="24"/>
      <c r="D391" s="24"/>
      <c r="E391" s="24"/>
      <c r="F391" s="24"/>
      <c r="G391" s="25"/>
      <c r="H391" s="26"/>
      <c r="I391" s="27"/>
      <c r="J391" s="80">
        <f>SUM(J382:K390)</f>
        <v>87.669999999999987</v>
      </c>
      <c r="K391" s="81"/>
    </row>
    <row r="392" spans="1:13" ht="15" customHeight="1" x14ac:dyDescent="0.25">
      <c r="A392" s="3"/>
      <c r="B392" s="3"/>
      <c r="C392" s="3"/>
      <c r="D392" s="3"/>
      <c r="E392" s="3"/>
      <c r="F392" s="3"/>
      <c r="G392" s="3"/>
      <c r="H392" s="3"/>
      <c r="I392" s="3"/>
      <c r="J392" s="3"/>
      <c r="K392" s="3"/>
    </row>
    <row r="393" spans="1:13" ht="15" customHeight="1" x14ac:dyDescent="0.25">
      <c r="A393" s="10" t="s">
        <v>295</v>
      </c>
      <c r="B393" s="10" t="s">
        <v>31</v>
      </c>
      <c r="C393" s="82" t="s">
        <v>7</v>
      </c>
      <c r="D393" s="83"/>
      <c r="E393" s="83"/>
      <c r="F393" s="83"/>
      <c r="G393" s="6" t="s">
        <v>32</v>
      </c>
      <c r="H393" s="6" t="s">
        <v>296</v>
      </c>
      <c r="I393" s="6" t="s">
        <v>297</v>
      </c>
      <c r="J393" s="57" t="s">
        <v>9</v>
      </c>
      <c r="K393" s="58"/>
    </row>
    <row r="394" spans="1:13" ht="30" customHeight="1" x14ac:dyDescent="0.25">
      <c r="A394" s="6" t="s">
        <v>363</v>
      </c>
      <c r="B394" s="28">
        <v>92272</v>
      </c>
      <c r="C394" s="91" t="str">
        <f>VLOOKUP(B394,S!$A:$D,2,FALSE)</f>
        <v>FABRICAÇÃO DE ESCORAS DE VIGA DO TIPO GARFO, EM MADEIRA. AF_09/2020</v>
      </c>
      <c r="D394" s="91"/>
      <c r="E394" s="91"/>
      <c r="F394" s="92"/>
      <c r="G394" s="6" t="str">
        <f>VLOOKUP(B394,S!$A:$D,3,FALSE)</f>
        <v>M</v>
      </c>
      <c r="H394" s="21"/>
      <c r="I394" s="21">
        <f>J402</f>
        <v>29.37</v>
      </c>
      <c r="J394" s="76"/>
      <c r="K394" s="72"/>
      <c r="L394" s="21">
        <f>VLOOKUP(B394,S!$A:$D,4,FALSE)</f>
        <v>29.37</v>
      </c>
      <c r="M394" s="6" t="str">
        <f>IF(ROUND((L394-I394),2)=0,"OK, confere com a tabela.",IF(ROUND((L394-I394),2)&lt;0,"ACIMA ("&amp;TEXT(ROUND(I394*100/L394,4),"0,0000")&amp;" %) da tabela.","ABAIXO ("&amp;TEXT(ROUND(I394*100/L394,4),"0,0000")&amp;" %) da tabela."))</f>
        <v>OK, confere com a tabela.</v>
      </c>
    </row>
    <row r="395" spans="1:13" ht="45" customHeight="1" x14ac:dyDescent="0.25">
      <c r="A395" s="16" t="s">
        <v>306</v>
      </c>
      <c r="B395" s="20">
        <v>1345</v>
      </c>
      <c r="C395" s="77" t="str">
        <f>VLOOKUP(B395,IF(A395="COMPOSICAO",S!$A:$D,I!$A:$D),2,FALSE)</f>
        <v>CHAPA DE MADEIRA COMPENSADA PLASTIFICADA PARA FORMA DE CONCRETO, DE 2,20 x 1,10 M, E = 18 MM</v>
      </c>
      <c r="D395" s="77"/>
      <c r="E395" s="77"/>
      <c r="F395" s="77"/>
      <c r="G395" s="16" t="str">
        <f>VLOOKUP(B395,IF(A395="COMPOSICAO",S!$A:$D,I!$A:$D),3,FALSE)</f>
        <v>M2</v>
      </c>
      <c r="H395" s="30">
        <v>0.13600000000000001</v>
      </c>
      <c r="I395" s="17">
        <f>IF(A395="COMPOSICAO",VLOOKUP("TOTAL - "&amp;B395,COMPOSICAO_AUX_3!$A:$J,10,FALSE),VLOOKUP(B395,I!$A:$D,4,FALSE))</f>
        <v>66.12</v>
      </c>
      <c r="J395" s="80">
        <f t="shared" ref="J395:J401" si="16">TRUNC(H395*I395,2)</f>
        <v>8.99</v>
      </c>
      <c r="K395" s="81"/>
    </row>
    <row r="396" spans="1:13" ht="30" customHeight="1" x14ac:dyDescent="0.25">
      <c r="A396" s="16" t="s">
        <v>306</v>
      </c>
      <c r="B396" s="20">
        <v>4491</v>
      </c>
      <c r="C396" s="77" t="str">
        <f>VLOOKUP(B396,IF(A396="COMPOSICAO",S!$A:$D,I!$A:$D),2,FALSE)</f>
        <v>PONTALETE *7,5 X 7,5* CM EM PINUS, MISTA OU EQUIVALENTE DA REGIAO - BRUTA</v>
      </c>
      <c r="D396" s="77"/>
      <c r="E396" s="77"/>
      <c r="F396" s="77"/>
      <c r="G396" s="16" t="str">
        <f>VLOOKUP(B396,IF(A396="COMPOSICAO",S!$A:$D,I!$A:$D),3,FALSE)</f>
        <v>M</v>
      </c>
      <c r="H396" s="30">
        <v>2.3420000000000001</v>
      </c>
      <c r="I396" s="17">
        <f>IF(A396="COMPOSICAO",VLOOKUP("TOTAL - "&amp;B396,COMPOSICAO_AUX_3!$A:$J,10,FALSE),VLOOKUP(B396,I!$A:$D,4,FALSE))</f>
        <v>6.67</v>
      </c>
      <c r="J396" s="80">
        <f t="shared" si="16"/>
        <v>15.62</v>
      </c>
      <c r="K396" s="81"/>
    </row>
    <row r="397" spans="1:13" ht="30" customHeight="1" x14ac:dyDescent="0.25">
      <c r="A397" s="16" t="s">
        <v>306</v>
      </c>
      <c r="B397" s="20">
        <v>5068</v>
      </c>
      <c r="C397" s="77" t="str">
        <f>VLOOKUP(B397,IF(A397="COMPOSICAO",S!$A:$D,I!$A:$D),2,FALSE)</f>
        <v>PREGO DE ACO POLIDO COM CABECA 17 X 21 (2 X 11)</v>
      </c>
      <c r="D397" s="77"/>
      <c r="E397" s="77"/>
      <c r="F397" s="77"/>
      <c r="G397" s="16" t="str">
        <f>VLOOKUP(B397,IF(A397="COMPOSICAO",S!$A:$D,I!$A:$D),3,FALSE)</f>
        <v>KG</v>
      </c>
      <c r="H397" s="30">
        <v>1.2E-2</v>
      </c>
      <c r="I397" s="17">
        <f>IF(A397="COMPOSICAO",VLOOKUP("TOTAL - "&amp;B397,COMPOSICAO_AUX_3!$A:$J,10,FALSE),VLOOKUP(B397,I!$A:$D,4,FALSE))</f>
        <v>19.329999999999998</v>
      </c>
      <c r="J397" s="80">
        <f t="shared" si="16"/>
        <v>0.23</v>
      </c>
      <c r="K397" s="81"/>
    </row>
    <row r="398" spans="1:13" ht="30" customHeight="1" x14ac:dyDescent="0.25">
      <c r="A398" s="16" t="s">
        <v>302</v>
      </c>
      <c r="B398" s="20">
        <v>88239</v>
      </c>
      <c r="C398" s="77" t="str">
        <f>VLOOKUP(B398,IF(A398="COMPOSICAO",S!$A:$D,I!$A:$D),2,FALSE)</f>
        <v>AJUDANTE DE CARPINTEIRO COM ENCARGOS COMPLEMENTARES</v>
      </c>
      <c r="D398" s="77"/>
      <c r="E398" s="77"/>
      <c r="F398" s="77"/>
      <c r="G398" s="16" t="str">
        <f>VLOOKUP(B398,IF(A398="COMPOSICAO",S!$A:$D,I!$A:$D),3,FALSE)</f>
        <v>H</v>
      </c>
      <c r="H398" s="30">
        <v>3.2000000000000001E-2</v>
      </c>
      <c r="I398" s="17">
        <f>IF(A398="COMPOSICAO",VLOOKUP("TOTAL - "&amp;B398,COMPOSICAO_AUX_3!$A:$J,10,FALSE),VLOOKUP(B398,I!$A:$D,4,FALSE))</f>
        <v>16.470000000000002</v>
      </c>
      <c r="J398" s="80">
        <f t="shared" si="16"/>
        <v>0.52</v>
      </c>
      <c r="K398" s="81"/>
    </row>
    <row r="399" spans="1:13" ht="30" customHeight="1" x14ac:dyDescent="0.25">
      <c r="A399" s="16" t="s">
        <v>302</v>
      </c>
      <c r="B399" s="20">
        <v>88262</v>
      </c>
      <c r="C399" s="77" t="str">
        <f>VLOOKUP(B399,IF(A399="COMPOSICAO",S!$A:$D,I!$A:$D),2,FALSE)</f>
        <v>CARPINTEIRO DE FORMAS COM ENCARGOS COMPLEMENTARES</v>
      </c>
      <c r="D399" s="77"/>
      <c r="E399" s="77"/>
      <c r="F399" s="77"/>
      <c r="G399" s="16" t="str">
        <f>VLOOKUP(B399,IF(A399="COMPOSICAO",S!$A:$D,I!$A:$D),3,FALSE)</f>
        <v>H</v>
      </c>
      <c r="H399" s="30">
        <v>0.161</v>
      </c>
      <c r="I399" s="17">
        <f>IF(A399="COMPOSICAO",VLOOKUP("TOTAL - "&amp;B399,COMPOSICAO_AUX_3!$A:$J,10,FALSE),VLOOKUP(B399,I!$A:$D,4,FALSE))</f>
        <v>19.649999999999999</v>
      </c>
      <c r="J399" s="80">
        <f t="shared" si="16"/>
        <v>3.16</v>
      </c>
      <c r="K399" s="81"/>
    </row>
    <row r="400" spans="1:13" ht="45" customHeight="1" x14ac:dyDescent="0.25">
      <c r="A400" s="16" t="s">
        <v>302</v>
      </c>
      <c r="B400" s="20">
        <v>91692</v>
      </c>
      <c r="C400" s="77" t="str">
        <f>VLOOKUP(B400,IF(A400="COMPOSICAO",S!$A:$D,I!$A:$D),2,FALSE)</f>
        <v>SERRA CIRCULAR DE BANCADA COM MOTOR ELÉTRICO POTÊNCIA DE 5HP, COM COIFA PARA DISCO 10" - CHP DIURNO. AF_08/2015</v>
      </c>
      <c r="D400" s="77"/>
      <c r="E400" s="77"/>
      <c r="F400" s="77"/>
      <c r="G400" s="16" t="str">
        <f>VLOOKUP(B400,IF(A400="COMPOSICAO",S!$A:$D,I!$A:$D),3,FALSE)</f>
        <v>CHP</v>
      </c>
      <c r="H400" s="30">
        <v>2.1999999999999999E-2</v>
      </c>
      <c r="I400" s="17">
        <f>IF(A400="COMPOSICAO",VLOOKUP("TOTAL - "&amp;B400,COMPOSICAO_AUX_3!$A:$J,10,FALSE),VLOOKUP(B400,I!$A:$D,4,FALSE))</f>
        <v>27.599999999999998</v>
      </c>
      <c r="J400" s="80">
        <f t="shared" si="16"/>
        <v>0.6</v>
      </c>
      <c r="K400" s="81"/>
    </row>
    <row r="401" spans="1:13" ht="45" customHeight="1" x14ac:dyDescent="0.25">
      <c r="A401" s="16" t="s">
        <v>302</v>
      </c>
      <c r="B401" s="20">
        <v>91693</v>
      </c>
      <c r="C401" s="77" t="str">
        <f>VLOOKUP(B401,IF(A401="COMPOSICAO",S!$A:$D,I!$A:$D),2,FALSE)</f>
        <v>SERRA CIRCULAR DE BANCADA COM MOTOR ELÉTRICO POTÊNCIA DE 5HP, COM COIFA PARA DISCO 10" - CHI DIURNO. AF_08/2015</v>
      </c>
      <c r="D401" s="77"/>
      <c r="E401" s="77"/>
      <c r="F401" s="77"/>
      <c r="G401" s="16" t="str">
        <f>VLOOKUP(B401,IF(A401="COMPOSICAO",S!$A:$D,I!$A:$D),3,FALSE)</f>
        <v>CHI</v>
      </c>
      <c r="H401" s="17">
        <v>0.01</v>
      </c>
      <c r="I401" s="17">
        <f>IF(A401="COMPOSICAO",VLOOKUP("TOTAL - "&amp;B401,COMPOSICAO_AUX_3!$A:$J,10,FALSE),VLOOKUP(B401,I!$A:$D,4,FALSE))</f>
        <v>25.14</v>
      </c>
      <c r="J401" s="80">
        <f t="shared" si="16"/>
        <v>0.25</v>
      </c>
      <c r="K401" s="81"/>
    </row>
    <row r="402" spans="1:13" ht="15" customHeight="1" x14ac:dyDescent="0.25">
      <c r="A402" s="23" t="s">
        <v>763</v>
      </c>
      <c r="B402" s="24"/>
      <c r="C402" s="24"/>
      <c r="D402" s="24"/>
      <c r="E402" s="24"/>
      <c r="F402" s="24"/>
      <c r="G402" s="25"/>
      <c r="H402" s="26"/>
      <c r="I402" s="27"/>
      <c r="J402" s="80">
        <f>SUM(J394:K401)</f>
        <v>29.37</v>
      </c>
      <c r="K402" s="81"/>
    </row>
    <row r="403" spans="1:13" ht="15" customHeight="1" x14ac:dyDescent="0.25">
      <c r="A403" s="3"/>
      <c r="B403" s="3"/>
      <c r="C403" s="3"/>
      <c r="D403" s="3"/>
      <c r="E403" s="3"/>
      <c r="F403" s="3"/>
      <c r="G403" s="3"/>
      <c r="H403" s="3"/>
      <c r="I403" s="3"/>
      <c r="J403" s="3"/>
      <c r="K403" s="3"/>
    </row>
    <row r="404" spans="1:13" ht="15" customHeight="1" x14ac:dyDescent="0.25">
      <c r="A404" s="10" t="s">
        <v>295</v>
      </c>
      <c r="B404" s="10" t="s">
        <v>31</v>
      </c>
      <c r="C404" s="82" t="s">
        <v>7</v>
      </c>
      <c r="D404" s="83"/>
      <c r="E404" s="83"/>
      <c r="F404" s="83"/>
      <c r="G404" s="6" t="s">
        <v>32</v>
      </c>
      <c r="H404" s="6" t="s">
        <v>296</v>
      </c>
      <c r="I404" s="6" t="s">
        <v>297</v>
      </c>
      <c r="J404" s="57" t="s">
        <v>9</v>
      </c>
      <c r="K404" s="58"/>
    </row>
    <row r="405" spans="1:13" ht="45" customHeight="1" x14ac:dyDescent="0.25">
      <c r="A405" s="6" t="s">
        <v>363</v>
      </c>
      <c r="B405" s="28">
        <v>92267</v>
      </c>
      <c r="C405" s="91" t="str">
        <f>VLOOKUP(B405,S!$A:$D,2,FALSE)</f>
        <v>FABRICAÇÃO DE FÔRMA PARA LAJES, EM CHAPA DE MADEIRA COMPENSADA RESINADA, E = 17 MM. AF_09/2020</v>
      </c>
      <c r="D405" s="91"/>
      <c r="E405" s="91"/>
      <c r="F405" s="92"/>
      <c r="G405" s="6" t="str">
        <f>VLOOKUP(B405,S!$A:$D,3,FALSE)</f>
        <v>M2</v>
      </c>
      <c r="H405" s="21"/>
      <c r="I405" s="21">
        <f>J411</f>
        <v>36.410000000000004</v>
      </c>
      <c r="J405" s="76"/>
      <c r="K405" s="72"/>
      <c r="L405" s="21">
        <f>VLOOKUP(B405,S!$A:$D,4,FALSE)</f>
        <v>36.409999999999997</v>
      </c>
      <c r="M405" s="6" t="str">
        <f>IF(ROUND((L405-I405),2)=0,"OK, confere com a tabela.",IF(ROUND((L405-I405),2)&lt;0,"ACIMA ("&amp;TEXT(ROUND(I405*100/L405,4),"0,0000")&amp;" %) da tabela.","ABAIXO ("&amp;TEXT(ROUND(I405*100/L405,4),"0,0000")&amp;" %) da tabela."))</f>
        <v>OK, confere com a tabela.</v>
      </c>
    </row>
    <row r="406" spans="1:13" ht="30" customHeight="1" x14ac:dyDescent="0.25">
      <c r="A406" s="16" t="s">
        <v>306</v>
      </c>
      <c r="B406" s="20">
        <v>1358</v>
      </c>
      <c r="C406" s="77" t="str">
        <f>VLOOKUP(B406,IF(A406="COMPOSICAO",S!$A:$D,I!$A:$D),2,FALSE)</f>
        <v>CHAPA DE MADEIRA COMPENSADA RESINADA PARA FORMA DE CONCRETO, DE *2,2 X 1,1* M, E = 17 MM</v>
      </c>
      <c r="D406" s="77"/>
      <c r="E406" s="77"/>
      <c r="F406" s="77"/>
      <c r="G406" s="16" t="str">
        <f>VLOOKUP(B406,IF(A406="COMPOSICAO",S!$A:$D,I!$A:$D),3,FALSE)</f>
        <v>M2</v>
      </c>
      <c r="H406" s="17">
        <v>1.05</v>
      </c>
      <c r="I406" s="17">
        <f>IF(A406="COMPOSICAO",VLOOKUP("TOTAL - "&amp;B406,COMPOSICAO_AUX_3!$A:$J,10,FALSE),VLOOKUP(B406,I!$A:$D,4,FALSE))</f>
        <v>33.96</v>
      </c>
      <c r="J406" s="80">
        <f>TRUNC(H406*I406,2)</f>
        <v>35.65</v>
      </c>
      <c r="K406" s="81"/>
    </row>
    <row r="407" spans="1:13" ht="30" customHeight="1" x14ac:dyDescent="0.25">
      <c r="A407" s="16" t="s">
        <v>302</v>
      </c>
      <c r="B407" s="20">
        <v>88239</v>
      </c>
      <c r="C407" s="77" t="str">
        <f>VLOOKUP(B407,IF(A407="COMPOSICAO",S!$A:$D,I!$A:$D),2,FALSE)</f>
        <v>AJUDANTE DE CARPINTEIRO COM ENCARGOS COMPLEMENTARES</v>
      </c>
      <c r="D407" s="77"/>
      <c r="E407" s="77"/>
      <c r="F407" s="77"/>
      <c r="G407" s="16" t="str">
        <f>VLOOKUP(B407,IF(A407="COMPOSICAO",S!$A:$D,I!$A:$D),3,FALSE)</f>
        <v>H</v>
      </c>
      <c r="H407" s="30">
        <v>5.0000000000000001E-3</v>
      </c>
      <c r="I407" s="17">
        <f>IF(A407="COMPOSICAO",VLOOKUP("TOTAL - "&amp;B407,COMPOSICAO_AUX_3!$A:$J,10,FALSE),VLOOKUP(B407,I!$A:$D,4,FALSE))</f>
        <v>16.470000000000002</v>
      </c>
      <c r="J407" s="80">
        <f>TRUNC(H407*I407,2)</f>
        <v>0.08</v>
      </c>
      <c r="K407" s="81"/>
    </row>
    <row r="408" spans="1:13" ht="30" customHeight="1" x14ac:dyDescent="0.25">
      <c r="A408" s="16" t="s">
        <v>302</v>
      </c>
      <c r="B408" s="20">
        <v>88262</v>
      </c>
      <c r="C408" s="77" t="str">
        <f>VLOOKUP(B408,IF(A408="COMPOSICAO",S!$A:$D,I!$A:$D),2,FALSE)</f>
        <v>CARPINTEIRO DE FORMAS COM ENCARGOS COMPLEMENTARES</v>
      </c>
      <c r="D408" s="77"/>
      <c r="E408" s="77"/>
      <c r="F408" s="77"/>
      <c r="G408" s="16" t="str">
        <f>VLOOKUP(B408,IF(A408="COMPOSICAO",S!$A:$D,I!$A:$D),3,FALSE)</f>
        <v>H</v>
      </c>
      <c r="H408" s="30">
        <v>2.7E-2</v>
      </c>
      <c r="I408" s="17">
        <f>IF(A408="COMPOSICAO",VLOOKUP("TOTAL - "&amp;B408,COMPOSICAO_AUX_3!$A:$J,10,FALSE),VLOOKUP(B408,I!$A:$D,4,FALSE))</f>
        <v>19.649999999999999</v>
      </c>
      <c r="J408" s="80">
        <f>TRUNC(H408*I408,2)</f>
        <v>0.53</v>
      </c>
      <c r="K408" s="81"/>
    </row>
    <row r="409" spans="1:13" ht="45" customHeight="1" x14ac:dyDescent="0.25">
      <c r="A409" s="16" t="s">
        <v>302</v>
      </c>
      <c r="B409" s="20">
        <v>91692</v>
      </c>
      <c r="C409" s="77" t="str">
        <f>VLOOKUP(B409,IF(A409="COMPOSICAO",S!$A:$D,I!$A:$D),2,FALSE)</f>
        <v>SERRA CIRCULAR DE BANCADA COM MOTOR ELÉTRICO POTÊNCIA DE 5HP, COM COIFA PARA DISCO 10" - CHP DIURNO. AF_08/2015</v>
      </c>
      <c r="D409" s="77"/>
      <c r="E409" s="77"/>
      <c r="F409" s="77"/>
      <c r="G409" s="16" t="str">
        <f>VLOOKUP(B409,IF(A409="COMPOSICAO",S!$A:$D,I!$A:$D),3,FALSE)</f>
        <v>CHP</v>
      </c>
      <c r="H409" s="30">
        <v>5.0000000000000001E-3</v>
      </c>
      <c r="I409" s="17">
        <f>IF(A409="COMPOSICAO",VLOOKUP("TOTAL - "&amp;B409,COMPOSICAO_AUX_3!$A:$J,10,FALSE),VLOOKUP(B409,I!$A:$D,4,FALSE))</f>
        <v>27.599999999999998</v>
      </c>
      <c r="J409" s="80">
        <f>TRUNC(H409*I409,2)</f>
        <v>0.13</v>
      </c>
      <c r="K409" s="81"/>
    </row>
    <row r="410" spans="1:13" ht="45" customHeight="1" x14ac:dyDescent="0.25">
      <c r="A410" s="16" t="s">
        <v>302</v>
      </c>
      <c r="B410" s="20">
        <v>91693</v>
      </c>
      <c r="C410" s="77" t="str">
        <f>VLOOKUP(B410,IF(A410="COMPOSICAO",S!$A:$D,I!$A:$D),2,FALSE)</f>
        <v>SERRA CIRCULAR DE BANCADA COM MOTOR ELÉTRICO POTÊNCIA DE 5HP, COM COIFA PARA DISCO 10" - CHI DIURNO. AF_08/2015</v>
      </c>
      <c r="D410" s="77"/>
      <c r="E410" s="77"/>
      <c r="F410" s="77"/>
      <c r="G410" s="16" t="str">
        <f>VLOOKUP(B410,IF(A410="COMPOSICAO",S!$A:$D,I!$A:$D),3,FALSE)</f>
        <v>CHI</v>
      </c>
      <c r="H410" s="30">
        <v>1E-3</v>
      </c>
      <c r="I410" s="17">
        <f>IF(A410="COMPOSICAO",VLOOKUP("TOTAL - "&amp;B410,COMPOSICAO_AUX_3!$A:$J,10,FALSE),VLOOKUP(B410,I!$A:$D,4,FALSE))</f>
        <v>25.14</v>
      </c>
      <c r="J410" s="80">
        <f>TRUNC(H410*I410,2)</f>
        <v>0.02</v>
      </c>
      <c r="K410" s="81"/>
    </row>
    <row r="411" spans="1:13" ht="15" customHeight="1" x14ac:dyDescent="0.25">
      <c r="A411" s="23" t="s">
        <v>764</v>
      </c>
      <c r="B411" s="24"/>
      <c r="C411" s="24"/>
      <c r="D411" s="24"/>
      <c r="E411" s="24"/>
      <c r="F411" s="24"/>
      <c r="G411" s="25"/>
      <c r="H411" s="26"/>
      <c r="I411" s="27"/>
      <c r="J411" s="80">
        <f>SUM(J405:K410)</f>
        <v>36.410000000000004</v>
      </c>
      <c r="K411" s="81"/>
    </row>
    <row r="412" spans="1:13" ht="15" customHeight="1" x14ac:dyDescent="0.25">
      <c r="A412" s="3"/>
      <c r="B412" s="3"/>
      <c r="C412" s="3"/>
      <c r="D412" s="3"/>
      <c r="E412" s="3"/>
      <c r="F412" s="3"/>
      <c r="G412" s="3"/>
      <c r="H412" s="3"/>
      <c r="I412" s="3"/>
      <c r="J412" s="3"/>
      <c r="K412" s="3"/>
    </row>
    <row r="413" spans="1:13" ht="15" customHeight="1" x14ac:dyDescent="0.25">
      <c r="A413" s="10" t="s">
        <v>295</v>
      </c>
      <c r="B413" s="10" t="s">
        <v>31</v>
      </c>
      <c r="C413" s="82" t="s">
        <v>7</v>
      </c>
      <c r="D413" s="83"/>
      <c r="E413" s="83"/>
      <c r="F413" s="83"/>
      <c r="G413" s="6" t="s">
        <v>32</v>
      </c>
      <c r="H413" s="6" t="s">
        <v>296</v>
      </c>
      <c r="I413" s="6" t="s">
        <v>297</v>
      </c>
      <c r="J413" s="57" t="s">
        <v>9</v>
      </c>
      <c r="K413" s="58"/>
    </row>
    <row r="414" spans="1:13" ht="30" customHeight="1" x14ac:dyDescent="0.25">
      <c r="A414" s="6" t="s">
        <v>502</v>
      </c>
      <c r="B414" s="28">
        <v>88238</v>
      </c>
      <c r="C414" s="91" t="str">
        <f>VLOOKUP(B414,S!$A:$D,2,FALSE)</f>
        <v>AJUDANTE DE ARMADOR COM ENCARGOS COMPLEMENTARES</v>
      </c>
      <c r="D414" s="91"/>
      <c r="E414" s="91"/>
      <c r="F414" s="92"/>
      <c r="G414" s="6" t="str">
        <f>VLOOKUP(B414,S!$A:$D,3,FALSE)</f>
        <v>H</v>
      </c>
      <c r="H414" s="21"/>
      <c r="I414" s="21">
        <f>J423</f>
        <v>15.19</v>
      </c>
      <c r="J414" s="76"/>
      <c r="K414" s="72"/>
      <c r="L414" s="21">
        <f>VLOOKUP(B414,S!$A:$D,4,FALSE)</f>
        <v>15.19</v>
      </c>
      <c r="M414" s="6" t="str">
        <f>IF(ROUND((L414-I414),2)=0,"OK, confere com a tabela.",IF(ROUND((L414-I414),2)&lt;0,"ACIMA ("&amp;TEXT(ROUND(I414*100/L414,4),"0,0000")&amp;" %) da tabela.","ABAIXO ("&amp;TEXT(ROUND(I414*100/L414,4),"0,0000")&amp;" %) da tabela."))</f>
        <v>OK, confere com a tabela.</v>
      </c>
    </row>
    <row r="415" spans="1:13" ht="15" customHeight="1" x14ac:dyDescent="0.25">
      <c r="A415" s="16" t="s">
        <v>306</v>
      </c>
      <c r="B415" s="20">
        <v>6114</v>
      </c>
      <c r="C415" s="77" t="str">
        <f>VLOOKUP(B415,IF(A415="COMPOSICAO",S!$A:$D,I!$A:$D),2,FALSE)</f>
        <v>AJUDANTE DE ARMADOR</v>
      </c>
      <c r="D415" s="77"/>
      <c r="E415" s="77"/>
      <c r="F415" s="77"/>
      <c r="G415" s="16" t="str">
        <f>VLOOKUP(B415,IF(A415="COMPOSICAO",S!$A:$D,I!$A:$D),3,FALSE)</f>
        <v>H</v>
      </c>
      <c r="H415" s="17">
        <v>1</v>
      </c>
      <c r="I415" s="17">
        <f>IF(A415="COMPOSICAO",VLOOKUP("TOTAL - "&amp;B415,COMPOSICAO_AUX_3!$A:$J,10,FALSE),VLOOKUP(B415,I!$A:$D,4,FALSE))</f>
        <v>10.41</v>
      </c>
      <c r="J415" s="80">
        <f t="shared" ref="J415:J422" si="17">TRUNC(H415*I415,2)</f>
        <v>10.41</v>
      </c>
      <c r="K415" s="81"/>
    </row>
    <row r="416" spans="1:13" ht="15" customHeight="1" x14ac:dyDescent="0.25">
      <c r="A416" s="16" t="s">
        <v>306</v>
      </c>
      <c r="B416" s="20">
        <v>37370</v>
      </c>
      <c r="C416" s="77" t="str">
        <f>VLOOKUP(B416,IF(A416="COMPOSICAO",S!$A:$D,I!$A:$D),2,FALSE)</f>
        <v>ALIMENTACAO - HORISTA (COLETADO CAIXA)</v>
      </c>
      <c r="D416" s="77"/>
      <c r="E416" s="77"/>
      <c r="F416" s="77"/>
      <c r="G416" s="16" t="str">
        <f>VLOOKUP(B416,IF(A416="COMPOSICAO",S!$A:$D,I!$A:$D),3,FALSE)</f>
        <v>H</v>
      </c>
      <c r="H416" s="17">
        <v>1</v>
      </c>
      <c r="I416" s="17">
        <f>IF(A416="COMPOSICAO",VLOOKUP("TOTAL - "&amp;B416,COMPOSICAO_AUX_3!$A:$J,10,FALSE),VLOOKUP(B416,I!$A:$D,4,FALSE))</f>
        <v>1.86</v>
      </c>
      <c r="J416" s="80">
        <f t="shared" si="17"/>
        <v>1.86</v>
      </c>
      <c r="K416" s="81"/>
    </row>
    <row r="417" spans="1:13" ht="15" customHeight="1" x14ac:dyDescent="0.25">
      <c r="A417" s="16" t="s">
        <v>306</v>
      </c>
      <c r="B417" s="20">
        <v>37371</v>
      </c>
      <c r="C417" s="77" t="str">
        <f>VLOOKUP(B417,IF(A417="COMPOSICAO",S!$A:$D,I!$A:$D),2,FALSE)</f>
        <v>TRANSPORTE - HORISTA (COLETADO CAIXA)</v>
      </c>
      <c r="D417" s="77"/>
      <c r="E417" s="77"/>
      <c r="F417" s="77"/>
      <c r="G417" s="16" t="str">
        <f>VLOOKUP(B417,IF(A417="COMPOSICAO",S!$A:$D,I!$A:$D),3,FALSE)</f>
        <v>H</v>
      </c>
      <c r="H417" s="17">
        <v>1</v>
      </c>
      <c r="I417" s="17">
        <f>IF(A417="COMPOSICAO",VLOOKUP("TOTAL - "&amp;B417,COMPOSICAO_AUX_3!$A:$J,10,FALSE),VLOOKUP(B417,I!$A:$D,4,FALSE))</f>
        <v>0.7</v>
      </c>
      <c r="J417" s="80">
        <f t="shared" si="17"/>
        <v>0.7</v>
      </c>
      <c r="K417" s="81"/>
    </row>
    <row r="418" spans="1:13" ht="15" customHeight="1" x14ac:dyDescent="0.25">
      <c r="A418" s="16" t="s">
        <v>306</v>
      </c>
      <c r="B418" s="20">
        <v>37372</v>
      </c>
      <c r="C418" s="77" t="str">
        <f>VLOOKUP(B418,IF(A418="COMPOSICAO",S!$A:$D,I!$A:$D),2,FALSE)</f>
        <v>EXAMES - HORISTA (COLETADO CAIXA)</v>
      </c>
      <c r="D418" s="77"/>
      <c r="E418" s="77"/>
      <c r="F418" s="77"/>
      <c r="G418" s="16" t="str">
        <f>VLOOKUP(B418,IF(A418="COMPOSICAO",S!$A:$D,I!$A:$D),3,FALSE)</f>
        <v>H</v>
      </c>
      <c r="H418" s="17">
        <v>1</v>
      </c>
      <c r="I418" s="17">
        <f>IF(A418="COMPOSICAO",VLOOKUP("TOTAL - "&amp;B418,COMPOSICAO_AUX_3!$A:$J,10,FALSE),VLOOKUP(B418,I!$A:$D,4,FALSE))</f>
        <v>0.55000000000000004</v>
      </c>
      <c r="J418" s="80">
        <f t="shared" si="17"/>
        <v>0.55000000000000004</v>
      </c>
      <c r="K418" s="81"/>
    </row>
    <row r="419" spans="1:13" ht="15" customHeight="1" x14ac:dyDescent="0.25">
      <c r="A419" s="16" t="s">
        <v>306</v>
      </c>
      <c r="B419" s="20">
        <v>37373</v>
      </c>
      <c r="C419" s="77" t="str">
        <f>VLOOKUP(B419,IF(A419="COMPOSICAO",S!$A:$D,I!$A:$D),2,FALSE)</f>
        <v>SEGURO - HORISTA (COLETADO CAIXA)</v>
      </c>
      <c r="D419" s="77"/>
      <c r="E419" s="77"/>
      <c r="F419" s="77"/>
      <c r="G419" s="16" t="str">
        <f>VLOOKUP(B419,IF(A419="COMPOSICAO",S!$A:$D,I!$A:$D),3,FALSE)</f>
        <v>H</v>
      </c>
      <c r="H419" s="17">
        <v>1</v>
      </c>
      <c r="I419" s="17">
        <f>IF(A419="COMPOSICAO",VLOOKUP("TOTAL - "&amp;B419,COMPOSICAO_AUX_3!$A:$J,10,FALSE),VLOOKUP(B419,I!$A:$D,4,FALSE))</f>
        <v>0.06</v>
      </c>
      <c r="J419" s="80">
        <f t="shared" si="17"/>
        <v>0.06</v>
      </c>
      <c r="K419" s="81"/>
    </row>
    <row r="420" spans="1:13" ht="30" customHeight="1" x14ac:dyDescent="0.25">
      <c r="A420" s="16" t="s">
        <v>306</v>
      </c>
      <c r="B420" s="20">
        <v>43465</v>
      </c>
      <c r="C420" s="77" t="str">
        <f>VLOOKUP(B420,IF(A420="COMPOSICAO",S!$A:$D,I!$A:$D),2,FALSE)</f>
        <v>FERRAMENTAS - FAMILIA PEDREIRO - HORISTA (ENCARGOS COMPLEMENTARES - COLETADO CAIXA)</v>
      </c>
      <c r="D420" s="77"/>
      <c r="E420" s="77"/>
      <c r="F420" s="77"/>
      <c r="G420" s="16" t="str">
        <f>VLOOKUP(B420,IF(A420="COMPOSICAO",S!$A:$D,I!$A:$D),3,FALSE)</f>
        <v>H</v>
      </c>
      <c r="H420" s="17">
        <v>1</v>
      </c>
      <c r="I420" s="17">
        <f>IF(A420="COMPOSICAO",VLOOKUP("TOTAL - "&amp;B420,COMPOSICAO_AUX_3!$A:$J,10,FALSE),VLOOKUP(B420,I!$A:$D,4,FALSE))</f>
        <v>0.57999999999999996</v>
      </c>
      <c r="J420" s="80">
        <f t="shared" si="17"/>
        <v>0.57999999999999996</v>
      </c>
      <c r="K420" s="81"/>
    </row>
    <row r="421" spans="1:13" ht="30" customHeight="1" x14ac:dyDescent="0.25">
      <c r="A421" s="16" t="s">
        <v>306</v>
      </c>
      <c r="B421" s="20">
        <v>43489</v>
      </c>
      <c r="C421" s="77" t="str">
        <f>VLOOKUP(B421,IF(A421="COMPOSICAO",S!$A:$D,I!$A:$D),2,FALSE)</f>
        <v>EPI - FAMILIA PEDREIRO - HORISTA (ENCARGOS COMPLEMENTARES - COLETADO CAIXA)</v>
      </c>
      <c r="D421" s="77"/>
      <c r="E421" s="77"/>
      <c r="F421" s="77"/>
      <c r="G421" s="16" t="str">
        <f>VLOOKUP(B421,IF(A421="COMPOSICAO",S!$A:$D,I!$A:$D),3,FALSE)</f>
        <v>H</v>
      </c>
      <c r="H421" s="17">
        <v>1</v>
      </c>
      <c r="I421" s="17">
        <f>IF(A421="COMPOSICAO",VLOOKUP("TOTAL - "&amp;B421,COMPOSICAO_AUX_3!$A:$J,10,FALSE),VLOOKUP(B421,I!$A:$D,4,FALSE))</f>
        <v>0.95</v>
      </c>
      <c r="J421" s="80">
        <f t="shared" si="17"/>
        <v>0.95</v>
      </c>
      <c r="K421" s="81"/>
    </row>
    <row r="422" spans="1:13" ht="30" customHeight="1" x14ac:dyDescent="0.25">
      <c r="A422" s="16" t="s">
        <v>302</v>
      </c>
      <c r="B422" s="20">
        <v>95308</v>
      </c>
      <c r="C422" s="77" t="str">
        <f>VLOOKUP(B422,IF(A422="COMPOSICAO",S!$A:$D,I!$A:$D),2,FALSE)</f>
        <v>CURSO DE CAPACITAÇÃO PARA AJUDANTE DE ARMADOR (ENCARGOS COMPLEMENTARES) - HORISTA</v>
      </c>
      <c r="D422" s="77"/>
      <c r="E422" s="77"/>
      <c r="F422" s="77"/>
      <c r="G422" s="16" t="str">
        <f>VLOOKUP(B422,IF(A422="COMPOSICAO",S!$A:$D,I!$A:$D),3,FALSE)</f>
        <v>H</v>
      </c>
      <c r="H422" s="17">
        <v>1</v>
      </c>
      <c r="I422" s="17">
        <f>IF(A422="COMPOSICAO",VLOOKUP("TOTAL - "&amp;B422,COMPOSICAO_AUX_3!$A:$J,10,FALSE),VLOOKUP(B422,I!$A:$D,4,FALSE))</f>
        <v>0.08</v>
      </c>
      <c r="J422" s="80">
        <f t="shared" si="17"/>
        <v>0.08</v>
      </c>
      <c r="K422" s="81"/>
    </row>
    <row r="423" spans="1:13" ht="15" customHeight="1" x14ac:dyDescent="0.25">
      <c r="A423" s="23" t="s">
        <v>765</v>
      </c>
      <c r="B423" s="24"/>
      <c r="C423" s="24"/>
      <c r="D423" s="24"/>
      <c r="E423" s="24"/>
      <c r="F423" s="24"/>
      <c r="G423" s="25"/>
      <c r="H423" s="26"/>
      <c r="I423" s="27"/>
      <c r="J423" s="80">
        <f>SUM(J414:K422)</f>
        <v>15.19</v>
      </c>
      <c r="K423" s="81"/>
    </row>
    <row r="424" spans="1:13" ht="15" customHeight="1" x14ac:dyDescent="0.25">
      <c r="A424" s="3"/>
      <c r="B424" s="3"/>
      <c r="C424" s="3"/>
      <c r="D424" s="3"/>
      <c r="E424" s="3"/>
      <c r="F424" s="3"/>
      <c r="G424" s="3"/>
      <c r="H424" s="3"/>
      <c r="I424" s="3"/>
      <c r="J424" s="3"/>
      <c r="K424" s="3"/>
    </row>
    <row r="425" spans="1:13" ht="15" customHeight="1" x14ac:dyDescent="0.25">
      <c r="A425" s="10" t="s">
        <v>295</v>
      </c>
      <c r="B425" s="10" t="s">
        <v>31</v>
      </c>
      <c r="C425" s="82" t="s">
        <v>7</v>
      </c>
      <c r="D425" s="83"/>
      <c r="E425" s="83"/>
      <c r="F425" s="83"/>
      <c r="G425" s="6" t="s">
        <v>32</v>
      </c>
      <c r="H425" s="6" t="s">
        <v>296</v>
      </c>
      <c r="I425" s="6" t="s">
        <v>297</v>
      </c>
      <c r="J425" s="57" t="s">
        <v>9</v>
      </c>
      <c r="K425" s="58"/>
    </row>
    <row r="426" spans="1:13" ht="15" customHeight="1" x14ac:dyDescent="0.25">
      <c r="A426" s="6" t="s">
        <v>502</v>
      </c>
      <c r="B426" s="28">
        <v>88245</v>
      </c>
      <c r="C426" s="91" t="str">
        <f>VLOOKUP(B426,S!$A:$D,2,FALSE)</f>
        <v>ARMADOR COM ENCARGOS COMPLEMENTARES</v>
      </c>
      <c r="D426" s="91"/>
      <c r="E426" s="91"/>
      <c r="F426" s="92"/>
      <c r="G426" s="6" t="str">
        <f>VLOOKUP(B426,S!$A:$D,3,FALSE)</f>
        <v>H</v>
      </c>
      <c r="H426" s="21"/>
      <c r="I426" s="21">
        <f>J435</f>
        <v>19.749999999999996</v>
      </c>
      <c r="J426" s="76"/>
      <c r="K426" s="72"/>
      <c r="L426" s="21">
        <f>VLOOKUP(B426,S!$A:$D,4,FALSE)</f>
        <v>19.75</v>
      </c>
      <c r="M426" s="6" t="str">
        <f>IF(ROUND((L426-I426),2)=0,"OK, confere com a tabela.",IF(ROUND((L426-I426),2)&lt;0,"ACIMA ("&amp;TEXT(ROUND(I426*100/L426,4),"0,0000")&amp;" %) da tabela.","ABAIXO ("&amp;TEXT(ROUND(I426*100/L426,4),"0,0000")&amp;" %) da tabela."))</f>
        <v>OK, confere com a tabela.</v>
      </c>
    </row>
    <row r="427" spans="1:13" ht="15" customHeight="1" x14ac:dyDescent="0.25">
      <c r="A427" s="16" t="s">
        <v>306</v>
      </c>
      <c r="B427" s="20">
        <v>378</v>
      </c>
      <c r="C427" s="77" t="str">
        <f>VLOOKUP(B427,IF(A427="COMPOSICAO",S!$A:$D,I!$A:$D),2,FALSE)</f>
        <v>ARMADOR</v>
      </c>
      <c r="D427" s="77"/>
      <c r="E427" s="77"/>
      <c r="F427" s="77"/>
      <c r="G427" s="16" t="str">
        <f>VLOOKUP(B427,IF(A427="COMPOSICAO",S!$A:$D,I!$A:$D),3,FALSE)</f>
        <v>H</v>
      </c>
      <c r="H427" s="17">
        <v>1</v>
      </c>
      <c r="I427" s="17">
        <f>IF(A427="COMPOSICAO",VLOOKUP("TOTAL - "&amp;B427,COMPOSICAO_AUX_3!$A:$J,10,FALSE),VLOOKUP(B427,I!$A:$D,4,FALSE))</f>
        <v>14.93</v>
      </c>
      <c r="J427" s="80">
        <f t="shared" ref="J427:J434" si="18">TRUNC(H427*I427,2)</f>
        <v>14.93</v>
      </c>
      <c r="K427" s="81"/>
    </row>
    <row r="428" spans="1:13" ht="15" customHeight="1" x14ac:dyDescent="0.25">
      <c r="A428" s="16" t="s">
        <v>306</v>
      </c>
      <c r="B428" s="20">
        <v>37370</v>
      </c>
      <c r="C428" s="77" t="str">
        <f>VLOOKUP(B428,IF(A428="COMPOSICAO",S!$A:$D,I!$A:$D),2,FALSE)</f>
        <v>ALIMENTACAO - HORISTA (COLETADO CAIXA)</v>
      </c>
      <c r="D428" s="77"/>
      <c r="E428" s="77"/>
      <c r="F428" s="77"/>
      <c r="G428" s="16" t="str">
        <f>VLOOKUP(B428,IF(A428="COMPOSICAO",S!$A:$D,I!$A:$D),3,FALSE)</f>
        <v>H</v>
      </c>
      <c r="H428" s="17">
        <v>1</v>
      </c>
      <c r="I428" s="17">
        <f>IF(A428="COMPOSICAO",VLOOKUP("TOTAL - "&amp;B428,COMPOSICAO_AUX_3!$A:$J,10,FALSE),VLOOKUP(B428,I!$A:$D,4,FALSE))</f>
        <v>1.86</v>
      </c>
      <c r="J428" s="80">
        <f t="shared" si="18"/>
        <v>1.86</v>
      </c>
      <c r="K428" s="81"/>
    </row>
    <row r="429" spans="1:13" ht="15" customHeight="1" x14ac:dyDescent="0.25">
      <c r="A429" s="16" t="s">
        <v>306</v>
      </c>
      <c r="B429" s="20">
        <v>37371</v>
      </c>
      <c r="C429" s="77" t="str">
        <f>VLOOKUP(B429,IF(A429="COMPOSICAO",S!$A:$D,I!$A:$D),2,FALSE)</f>
        <v>TRANSPORTE - HORISTA (COLETADO CAIXA)</v>
      </c>
      <c r="D429" s="77"/>
      <c r="E429" s="77"/>
      <c r="F429" s="77"/>
      <c r="G429" s="16" t="str">
        <f>VLOOKUP(B429,IF(A429="COMPOSICAO",S!$A:$D,I!$A:$D),3,FALSE)</f>
        <v>H</v>
      </c>
      <c r="H429" s="17">
        <v>1</v>
      </c>
      <c r="I429" s="17">
        <f>IF(A429="COMPOSICAO",VLOOKUP("TOTAL - "&amp;B429,COMPOSICAO_AUX_3!$A:$J,10,FALSE),VLOOKUP(B429,I!$A:$D,4,FALSE))</f>
        <v>0.7</v>
      </c>
      <c r="J429" s="80">
        <f t="shared" si="18"/>
        <v>0.7</v>
      </c>
      <c r="K429" s="81"/>
    </row>
    <row r="430" spans="1:13" ht="15" customHeight="1" x14ac:dyDescent="0.25">
      <c r="A430" s="16" t="s">
        <v>306</v>
      </c>
      <c r="B430" s="20">
        <v>37372</v>
      </c>
      <c r="C430" s="77" t="str">
        <f>VLOOKUP(B430,IF(A430="COMPOSICAO",S!$A:$D,I!$A:$D),2,FALSE)</f>
        <v>EXAMES - HORISTA (COLETADO CAIXA)</v>
      </c>
      <c r="D430" s="77"/>
      <c r="E430" s="77"/>
      <c r="F430" s="77"/>
      <c r="G430" s="16" t="str">
        <f>VLOOKUP(B430,IF(A430="COMPOSICAO",S!$A:$D,I!$A:$D),3,FALSE)</f>
        <v>H</v>
      </c>
      <c r="H430" s="17">
        <v>1</v>
      </c>
      <c r="I430" s="17">
        <f>IF(A430="COMPOSICAO",VLOOKUP("TOTAL - "&amp;B430,COMPOSICAO_AUX_3!$A:$J,10,FALSE),VLOOKUP(B430,I!$A:$D,4,FALSE))</f>
        <v>0.55000000000000004</v>
      </c>
      <c r="J430" s="80">
        <f t="shared" si="18"/>
        <v>0.55000000000000004</v>
      </c>
      <c r="K430" s="81"/>
    </row>
    <row r="431" spans="1:13" ht="15" customHeight="1" x14ac:dyDescent="0.25">
      <c r="A431" s="16" t="s">
        <v>306</v>
      </c>
      <c r="B431" s="20">
        <v>37373</v>
      </c>
      <c r="C431" s="77" t="str">
        <f>VLOOKUP(B431,IF(A431="COMPOSICAO",S!$A:$D,I!$A:$D),2,FALSE)</f>
        <v>SEGURO - HORISTA (COLETADO CAIXA)</v>
      </c>
      <c r="D431" s="77"/>
      <c r="E431" s="77"/>
      <c r="F431" s="77"/>
      <c r="G431" s="16" t="str">
        <f>VLOOKUP(B431,IF(A431="COMPOSICAO",S!$A:$D,I!$A:$D),3,FALSE)</f>
        <v>H</v>
      </c>
      <c r="H431" s="17">
        <v>1</v>
      </c>
      <c r="I431" s="17">
        <f>IF(A431="COMPOSICAO",VLOOKUP("TOTAL - "&amp;B431,COMPOSICAO_AUX_3!$A:$J,10,FALSE),VLOOKUP(B431,I!$A:$D,4,FALSE))</f>
        <v>0.06</v>
      </c>
      <c r="J431" s="80">
        <f t="shared" si="18"/>
        <v>0.06</v>
      </c>
      <c r="K431" s="81"/>
    </row>
    <row r="432" spans="1:13" ht="30" customHeight="1" x14ac:dyDescent="0.25">
      <c r="A432" s="16" t="s">
        <v>306</v>
      </c>
      <c r="B432" s="20">
        <v>43465</v>
      </c>
      <c r="C432" s="77" t="str">
        <f>VLOOKUP(B432,IF(A432="COMPOSICAO",S!$A:$D,I!$A:$D),2,FALSE)</f>
        <v>FERRAMENTAS - FAMILIA PEDREIRO - HORISTA (ENCARGOS COMPLEMENTARES - COLETADO CAIXA)</v>
      </c>
      <c r="D432" s="77"/>
      <c r="E432" s="77"/>
      <c r="F432" s="77"/>
      <c r="G432" s="16" t="str">
        <f>VLOOKUP(B432,IF(A432="COMPOSICAO",S!$A:$D,I!$A:$D),3,FALSE)</f>
        <v>H</v>
      </c>
      <c r="H432" s="17">
        <v>1</v>
      </c>
      <c r="I432" s="17">
        <f>IF(A432="COMPOSICAO",VLOOKUP("TOTAL - "&amp;B432,COMPOSICAO_AUX_3!$A:$J,10,FALSE),VLOOKUP(B432,I!$A:$D,4,FALSE))</f>
        <v>0.57999999999999996</v>
      </c>
      <c r="J432" s="80">
        <f t="shared" si="18"/>
        <v>0.57999999999999996</v>
      </c>
      <c r="K432" s="81"/>
    </row>
    <row r="433" spans="1:13" ht="30" customHeight="1" x14ac:dyDescent="0.25">
      <c r="A433" s="16" t="s">
        <v>306</v>
      </c>
      <c r="B433" s="20">
        <v>43489</v>
      </c>
      <c r="C433" s="77" t="str">
        <f>VLOOKUP(B433,IF(A433="COMPOSICAO",S!$A:$D,I!$A:$D),2,FALSE)</f>
        <v>EPI - FAMILIA PEDREIRO - HORISTA (ENCARGOS COMPLEMENTARES - COLETADO CAIXA)</v>
      </c>
      <c r="D433" s="77"/>
      <c r="E433" s="77"/>
      <c r="F433" s="77"/>
      <c r="G433" s="16" t="str">
        <f>VLOOKUP(B433,IF(A433="COMPOSICAO",S!$A:$D,I!$A:$D),3,FALSE)</f>
        <v>H</v>
      </c>
      <c r="H433" s="17">
        <v>1</v>
      </c>
      <c r="I433" s="17">
        <f>IF(A433="COMPOSICAO",VLOOKUP("TOTAL - "&amp;B433,COMPOSICAO_AUX_3!$A:$J,10,FALSE),VLOOKUP(B433,I!$A:$D,4,FALSE))</f>
        <v>0.95</v>
      </c>
      <c r="J433" s="80">
        <f t="shared" si="18"/>
        <v>0.95</v>
      </c>
      <c r="K433" s="81"/>
    </row>
    <row r="434" spans="1:13" ht="30" customHeight="1" x14ac:dyDescent="0.25">
      <c r="A434" s="16" t="s">
        <v>302</v>
      </c>
      <c r="B434" s="20">
        <v>95314</v>
      </c>
      <c r="C434" s="77" t="str">
        <f>VLOOKUP(B434,IF(A434="COMPOSICAO",S!$A:$D,I!$A:$D),2,FALSE)</f>
        <v>CURSO DE CAPACITAÇÃO PARA ARMADOR (ENCARGOS COMPLEMENTARES) - HORISTA</v>
      </c>
      <c r="D434" s="77"/>
      <c r="E434" s="77"/>
      <c r="F434" s="77"/>
      <c r="G434" s="16" t="str">
        <f>VLOOKUP(B434,IF(A434="COMPOSICAO",S!$A:$D,I!$A:$D),3,FALSE)</f>
        <v>H</v>
      </c>
      <c r="H434" s="17">
        <v>1</v>
      </c>
      <c r="I434" s="17">
        <f>IF(A434="COMPOSICAO",VLOOKUP("TOTAL - "&amp;B434,COMPOSICAO_AUX_3!$A:$J,10,FALSE),VLOOKUP(B434,I!$A:$D,4,FALSE))</f>
        <v>0.12</v>
      </c>
      <c r="J434" s="80">
        <f t="shared" si="18"/>
        <v>0.12</v>
      </c>
      <c r="K434" s="81"/>
    </row>
    <row r="435" spans="1:13" ht="15" customHeight="1" x14ac:dyDescent="0.25">
      <c r="A435" s="23" t="s">
        <v>766</v>
      </c>
      <c r="B435" s="24"/>
      <c r="C435" s="24"/>
      <c r="D435" s="24"/>
      <c r="E435" s="24"/>
      <c r="F435" s="24"/>
      <c r="G435" s="25"/>
      <c r="H435" s="26"/>
      <c r="I435" s="27"/>
      <c r="J435" s="80">
        <f>SUM(J426:K434)</f>
        <v>19.749999999999996</v>
      </c>
      <c r="K435" s="81"/>
    </row>
    <row r="436" spans="1:13" ht="15" customHeight="1" x14ac:dyDescent="0.25">
      <c r="A436" s="3"/>
      <c r="B436" s="3"/>
      <c r="C436" s="3"/>
      <c r="D436" s="3"/>
      <c r="E436" s="3"/>
      <c r="F436" s="3"/>
      <c r="G436" s="3"/>
      <c r="H436" s="3"/>
      <c r="I436" s="3"/>
      <c r="J436" s="3"/>
      <c r="K436" s="3"/>
    </row>
    <row r="437" spans="1:13" ht="15" customHeight="1" x14ac:dyDescent="0.25">
      <c r="A437" s="10" t="s">
        <v>295</v>
      </c>
      <c r="B437" s="10" t="s">
        <v>31</v>
      </c>
      <c r="C437" s="82" t="s">
        <v>7</v>
      </c>
      <c r="D437" s="83"/>
      <c r="E437" s="83"/>
      <c r="F437" s="83"/>
      <c r="G437" s="6" t="s">
        <v>32</v>
      </c>
      <c r="H437" s="6" t="s">
        <v>296</v>
      </c>
      <c r="I437" s="6" t="s">
        <v>297</v>
      </c>
      <c r="J437" s="57" t="s">
        <v>9</v>
      </c>
      <c r="K437" s="58"/>
    </row>
    <row r="438" spans="1:13" ht="45" customHeight="1" x14ac:dyDescent="0.25">
      <c r="A438" s="6" t="s">
        <v>363</v>
      </c>
      <c r="B438" s="28">
        <v>92791</v>
      </c>
      <c r="C438" s="91" t="str">
        <f>VLOOKUP(B438,S!$A:$D,2,FALSE)</f>
        <v>CORTE E DOBRA DE AÇO CA-60, DIÂMETRO DE 5,0 MM, UTILIZADO EM ESTRUTURAS DIVERSAS, EXCETO LAJES. AF_12/2015</v>
      </c>
      <c r="D438" s="91"/>
      <c r="E438" s="91"/>
      <c r="F438" s="92"/>
      <c r="G438" s="6" t="str">
        <f>VLOOKUP(B438,S!$A:$D,3,FALSE)</f>
        <v>KG</v>
      </c>
      <c r="H438" s="21"/>
      <c r="I438" s="21">
        <f>J442</f>
        <v>11.77</v>
      </c>
      <c r="J438" s="76"/>
      <c r="K438" s="72"/>
      <c r="L438" s="21">
        <f>VLOOKUP(B438,S!$A:$D,4,FALSE)</f>
        <v>11.77</v>
      </c>
      <c r="M438" s="6" t="str">
        <f>IF(ROUND((L438-I438),2)=0,"OK, confere com a tabela.",IF(ROUND((L438-I438),2)&lt;0,"ACIMA ("&amp;TEXT(ROUND(I438*100/L438,4),"0,0000")&amp;" %) da tabela.","ABAIXO ("&amp;TEXT(ROUND(I438*100/L438,4),"0,0000")&amp;" %) da tabela."))</f>
        <v>OK, confere com a tabela.</v>
      </c>
    </row>
    <row r="439" spans="1:13" ht="30" customHeight="1" x14ac:dyDescent="0.25">
      <c r="A439" s="16" t="s">
        <v>306</v>
      </c>
      <c r="B439" s="20">
        <v>43059</v>
      </c>
      <c r="C439" s="77" t="str">
        <f>VLOOKUP(B439,IF(A439="COMPOSICAO",S!$A:$D,I!$A:$D),2,FALSE)</f>
        <v>ACO CA-60, 4,2 MM, OU 5,0 MM, OU 6,0 MM, OU 7,0 MM, VERGALHAO</v>
      </c>
      <c r="D439" s="77"/>
      <c r="E439" s="77"/>
      <c r="F439" s="77"/>
      <c r="G439" s="16" t="str">
        <f>VLOOKUP(B439,IF(A439="COMPOSICAO",S!$A:$D,I!$A:$D),3,FALSE)</f>
        <v>KG</v>
      </c>
      <c r="H439" s="17">
        <v>1.07</v>
      </c>
      <c r="I439" s="17">
        <f>IF(A439="COMPOSICAO",VLOOKUP("TOTAL - "&amp;B439,COMPOSICAO_AUX_3!$A:$J,10,FALSE),VLOOKUP(B439,I!$A:$D,4,FALSE))</f>
        <v>9.44</v>
      </c>
      <c r="J439" s="80">
        <f>TRUNC(H439*I439,2)</f>
        <v>10.1</v>
      </c>
      <c r="K439" s="81"/>
    </row>
    <row r="440" spans="1:13" ht="30" customHeight="1" x14ac:dyDescent="0.25">
      <c r="A440" s="16" t="s">
        <v>302</v>
      </c>
      <c r="B440" s="20">
        <v>88238</v>
      </c>
      <c r="C440" s="77" t="str">
        <f>VLOOKUP(B440,IF(A440="COMPOSICAO",S!$A:$D,I!$A:$D),2,FALSE)</f>
        <v>AJUDANTE DE ARMADOR COM ENCARGOS COMPLEMENTARES</v>
      </c>
      <c r="D440" s="77"/>
      <c r="E440" s="77"/>
      <c r="F440" s="77"/>
      <c r="G440" s="16" t="str">
        <f>VLOOKUP(B440,IF(A440="COMPOSICAO",S!$A:$D,I!$A:$D),3,FALSE)</f>
        <v>H</v>
      </c>
      <c r="H440" s="29">
        <v>1.0800000000000001E-2</v>
      </c>
      <c r="I440" s="17">
        <f>IF(A440="COMPOSICAO",VLOOKUP("TOTAL - "&amp;B440,COMPOSICAO_AUX_3!$A:$J,10,FALSE),VLOOKUP(B440,I!$A:$D,4,FALSE))</f>
        <v>15.19</v>
      </c>
      <c r="J440" s="80">
        <f>TRUNC(H440*I440,2)</f>
        <v>0.16</v>
      </c>
      <c r="K440" s="81"/>
    </row>
    <row r="441" spans="1:13" ht="15" customHeight="1" x14ac:dyDescent="0.25">
      <c r="A441" s="16" t="s">
        <v>302</v>
      </c>
      <c r="B441" s="20">
        <v>88245</v>
      </c>
      <c r="C441" s="77" t="str">
        <f>VLOOKUP(B441,IF(A441="COMPOSICAO",S!$A:$D,I!$A:$D),2,FALSE)</f>
        <v>ARMADOR COM ENCARGOS COMPLEMENTARES</v>
      </c>
      <c r="D441" s="77"/>
      <c r="E441" s="77"/>
      <c r="F441" s="77"/>
      <c r="G441" s="16" t="str">
        <f>VLOOKUP(B441,IF(A441="COMPOSICAO",S!$A:$D,I!$A:$D),3,FALSE)</f>
        <v>H</v>
      </c>
      <c r="H441" s="29">
        <v>7.6899999999999996E-2</v>
      </c>
      <c r="I441" s="17">
        <f>IF(A441="COMPOSICAO",VLOOKUP("TOTAL - "&amp;B441,COMPOSICAO_AUX_3!$A:$J,10,FALSE),VLOOKUP(B441,I!$A:$D,4,FALSE))</f>
        <v>19.749999999999996</v>
      </c>
      <c r="J441" s="80">
        <f>TRUNC(H441*I441,2)</f>
        <v>1.51</v>
      </c>
      <c r="K441" s="81"/>
    </row>
    <row r="442" spans="1:13" ht="15" customHeight="1" x14ac:dyDescent="0.25">
      <c r="A442" s="23" t="s">
        <v>767</v>
      </c>
      <c r="B442" s="24"/>
      <c r="C442" s="24"/>
      <c r="D442" s="24"/>
      <c r="E442" s="24"/>
      <c r="F442" s="24"/>
      <c r="G442" s="25"/>
      <c r="H442" s="26"/>
      <c r="I442" s="27"/>
      <c r="J442" s="80">
        <f>SUM(J438:K441)</f>
        <v>11.77</v>
      </c>
      <c r="K442" s="81"/>
    </row>
    <row r="443" spans="1:13" ht="15" customHeight="1" x14ac:dyDescent="0.25">
      <c r="A443" s="3"/>
      <c r="B443" s="3"/>
      <c r="C443" s="3"/>
      <c r="D443" s="3"/>
      <c r="E443" s="3"/>
      <c r="F443" s="3"/>
      <c r="G443" s="3"/>
      <c r="H443" s="3"/>
      <c r="I443" s="3"/>
      <c r="J443" s="3"/>
      <c r="K443" s="3"/>
    </row>
    <row r="444" spans="1:13" ht="15" customHeight="1" x14ac:dyDescent="0.25">
      <c r="A444" s="10" t="s">
        <v>295</v>
      </c>
      <c r="B444" s="10" t="s">
        <v>31</v>
      </c>
      <c r="C444" s="82" t="s">
        <v>7</v>
      </c>
      <c r="D444" s="83"/>
      <c r="E444" s="83"/>
      <c r="F444" s="83"/>
      <c r="G444" s="6" t="s">
        <v>32</v>
      </c>
      <c r="H444" s="6" t="s">
        <v>296</v>
      </c>
      <c r="I444" s="6" t="s">
        <v>297</v>
      </c>
      <c r="J444" s="57" t="s">
        <v>9</v>
      </c>
      <c r="K444" s="58"/>
    </row>
    <row r="445" spans="1:13" ht="45" customHeight="1" x14ac:dyDescent="0.25">
      <c r="A445" s="6" t="s">
        <v>363</v>
      </c>
      <c r="B445" s="28">
        <v>92792</v>
      </c>
      <c r="C445" s="91" t="str">
        <f>VLOOKUP(B445,S!$A:$D,2,FALSE)</f>
        <v>CORTE E DOBRA DE AÇO CA-50, DIÂMETRO DE 6,3 MM, UTILIZADO EM ESTRUTURAS DIVERSAS, EXCETO LAJES. AF_12/2015</v>
      </c>
      <c r="D445" s="91"/>
      <c r="E445" s="91"/>
      <c r="F445" s="92"/>
      <c r="G445" s="6" t="str">
        <f>VLOOKUP(B445,S!$A:$D,3,FALSE)</f>
        <v>KG</v>
      </c>
      <c r="H445" s="21"/>
      <c r="I445" s="21">
        <f>J449</f>
        <v>12.15</v>
      </c>
      <c r="J445" s="76"/>
      <c r="K445" s="72"/>
      <c r="L445" s="21">
        <f>VLOOKUP(B445,S!$A:$D,4,FALSE)</f>
        <v>12.15</v>
      </c>
      <c r="M445" s="6" t="str">
        <f>IF(ROUND((L445-I445),2)=0,"OK, confere com a tabela.",IF(ROUND((L445-I445),2)&lt;0,"ACIMA ("&amp;TEXT(ROUND(I445*100/L445,4),"0,0000")&amp;" %) da tabela.","ABAIXO ("&amp;TEXT(ROUND(I445*100/L445,4),"0,0000")&amp;" %) da tabela."))</f>
        <v>OK, confere com a tabela.</v>
      </c>
    </row>
    <row r="446" spans="1:13" ht="15" customHeight="1" x14ac:dyDescent="0.25">
      <c r="A446" s="16" t="s">
        <v>306</v>
      </c>
      <c r="B446" s="20">
        <v>32</v>
      </c>
      <c r="C446" s="77" t="str">
        <f>VLOOKUP(B446,IF(A446="COMPOSICAO",S!$A:$D,I!$A:$D),2,FALSE)</f>
        <v>ACO CA-50, 6,3 MM, VERGALHAO</v>
      </c>
      <c r="D446" s="77"/>
      <c r="E446" s="77"/>
      <c r="F446" s="77"/>
      <c r="G446" s="16" t="str">
        <f>VLOOKUP(B446,IF(A446="COMPOSICAO",S!$A:$D,I!$A:$D),3,FALSE)</f>
        <v>KG</v>
      </c>
      <c r="H446" s="17">
        <v>1.07</v>
      </c>
      <c r="I446" s="17">
        <f>IF(A446="COMPOSICAO",VLOOKUP("TOTAL - "&amp;B446,COMPOSICAO_AUX_3!$A:$J,10,FALSE),VLOOKUP(B446,I!$A:$D,4,FALSE))</f>
        <v>10.52</v>
      </c>
      <c r="J446" s="80">
        <f>TRUNC(H446*I446,2)</f>
        <v>11.25</v>
      </c>
      <c r="K446" s="81"/>
    </row>
    <row r="447" spans="1:13" ht="30" customHeight="1" x14ac:dyDescent="0.25">
      <c r="A447" s="16" t="s">
        <v>302</v>
      </c>
      <c r="B447" s="20">
        <v>88238</v>
      </c>
      <c r="C447" s="77" t="str">
        <f>VLOOKUP(B447,IF(A447="COMPOSICAO",S!$A:$D,I!$A:$D),2,FALSE)</f>
        <v>AJUDANTE DE ARMADOR COM ENCARGOS COMPLEMENTARES</v>
      </c>
      <c r="D447" s="77"/>
      <c r="E447" s="77"/>
      <c r="F447" s="77"/>
      <c r="G447" s="16" t="str">
        <f>VLOOKUP(B447,IF(A447="COMPOSICAO",S!$A:$D,I!$A:$D),3,FALSE)</f>
        <v>H</v>
      </c>
      <c r="H447" s="29">
        <v>5.8999999999999999E-3</v>
      </c>
      <c r="I447" s="17">
        <f>IF(A447="COMPOSICAO",VLOOKUP("TOTAL - "&amp;B447,COMPOSICAO_AUX_3!$A:$J,10,FALSE),VLOOKUP(B447,I!$A:$D,4,FALSE))</f>
        <v>15.19</v>
      </c>
      <c r="J447" s="80">
        <f>TRUNC(H447*I447,2)</f>
        <v>0.08</v>
      </c>
      <c r="K447" s="81"/>
    </row>
    <row r="448" spans="1:13" ht="15" customHeight="1" x14ac:dyDescent="0.25">
      <c r="A448" s="16" t="s">
        <v>302</v>
      </c>
      <c r="B448" s="20">
        <v>88245</v>
      </c>
      <c r="C448" s="77" t="str">
        <f>VLOOKUP(B448,IF(A448="COMPOSICAO",S!$A:$D,I!$A:$D),2,FALSE)</f>
        <v>ARMADOR COM ENCARGOS COMPLEMENTARES</v>
      </c>
      <c r="D448" s="77"/>
      <c r="E448" s="77"/>
      <c r="F448" s="77"/>
      <c r="G448" s="16" t="str">
        <f>VLOOKUP(B448,IF(A448="COMPOSICAO",S!$A:$D,I!$A:$D),3,FALSE)</f>
        <v>H</v>
      </c>
      <c r="H448" s="30">
        <v>4.2000000000000003E-2</v>
      </c>
      <c r="I448" s="17">
        <f>IF(A448="COMPOSICAO",VLOOKUP("TOTAL - "&amp;B448,COMPOSICAO_AUX_3!$A:$J,10,FALSE),VLOOKUP(B448,I!$A:$D,4,FALSE))</f>
        <v>19.749999999999996</v>
      </c>
      <c r="J448" s="80">
        <f>TRUNC(H448*I448,2)</f>
        <v>0.82</v>
      </c>
      <c r="K448" s="81"/>
    </row>
    <row r="449" spans="1:13" ht="15" customHeight="1" x14ac:dyDescent="0.25">
      <c r="A449" s="23" t="s">
        <v>768</v>
      </c>
      <c r="B449" s="24"/>
      <c r="C449" s="24"/>
      <c r="D449" s="24"/>
      <c r="E449" s="24"/>
      <c r="F449" s="24"/>
      <c r="G449" s="25"/>
      <c r="H449" s="26"/>
      <c r="I449" s="27"/>
      <c r="J449" s="80">
        <f>SUM(J445:K448)</f>
        <v>12.15</v>
      </c>
      <c r="K449" s="81"/>
    </row>
    <row r="450" spans="1:13" ht="15" customHeight="1" x14ac:dyDescent="0.25">
      <c r="A450" s="3"/>
      <c r="B450" s="3"/>
      <c r="C450" s="3"/>
      <c r="D450" s="3"/>
      <c r="E450" s="3"/>
      <c r="F450" s="3"/>
      <c r="G450" s="3"/>
      <c r="H450" s="3"/>
      <c r="I450" s="3"/>
      <c r="J450" s="3"/>
      <c r="K450" s="3"/>
    </row>
    <row r="451" spans="1:13" ht="15" customHeight="1" x14ac:dyDescent="0.25">
      <c r="A451" s="10" t="s">
        <v>295</v>
      </c>
      <c r="B451" s="10" t="s">
        <v>31</v>
      </c>
      <c r="C451" s="82" t="s">
        <v>7</v>
      </c>
      <c r="D451" s="83"/>
      <c r="E451" s="83"/>
      <c r="F451" s="83"/>
      <c r="G451" s="6" t="s">
        <v>32</v>
      </c>
      <c r="H451" s="6" t="s">
        <v>296</v>
      </c>
      <c r="I451" s="6" t="s">
        <v>297</v>
      </c>
      <c r="J451" s="57" t="s">
        <v>9</v>
      </c>
      <c r="K451" s="58"/>
    </row>
    <row r="452" spans="1:13" ht="45" customHeight="1" x14ac:dyDescent="0.25">
      <c r="A452" s="6" t="s">
        <v>363</v>
      </c>
      <c r="B452" s="28">
        <v>92793</v>
      </c>
      <c r="C452" s="91" t="str">
        <f>VLOOKUP(B452,S!$A:$D,2,FALSE)</f>
        <v>CORTE E DOBRA DE AÇO CA-50, DIÂMETRO DE 8,0 MM, UTILIZADO EM ESTRUTURAS DIVERSAS, EXCETO LAJES. AF_12/2015</v>
      </c>
      <c r="D452" s="91"/>
      <c r="E452" s="91"/>
      <c r="F452" s="92"/>
      <c r="G452" s="6" t="str">
        <f>VLOOKUP(B452,S!$A:$D,3,FALSE)</f>
        <v>KG</v>
      </c>
      <c r="H452" s="21"/>
      <c r="I452" s="21">
        <f>J456</f>
        <v>12.219999999999999</v>
      </c>
      <c r="J452" s="76"/>
      <c r="K452" s="72"/>
      <c r="L452" s="21">
        <f>VLOOKUP(B452,S!$A:$D,4,FALSE)</f>
        <v>12.22</v>
      </c>
      <c r="M452" s="6" t="str">
        <f>IF(ROUND((L452-I452),2)=0,"OK, confere com a tabela.",IF(ROUND((L452-I452),2)&lt;0,"ACIMA ("&amp;TEXT(ROUND(I452*100/L452,4),"0,0000")&amp;" %) da tabela.","ABAIXO ("&amp;TEXT(ROUND(I452*100/L452,4),"0,0000")&amp;" %) da tabela."))</f>
        <v>OK, confere com a tabela.</v>
      </c>
    </row>
    <row r="453" spans="1:13" ht="15" customHeight="1" x14ac:dyDescent="0.25">
      <c r="A453" s="16" t="s">
        <v>306</v>
      </c>
      <c r="B453" s="20">
        <v>33</v>
      </c>
      <c r="C453" s="77" t="str">
        <f>VLOOKUP(B453,IF(A453="COMPOSICAO",S!$A:$D,I!$A:$D),2,FALSE)</f>
        <v>ACO CA-50, 8,0 MM, VERGALHAO</v>
      </c>
      <c r="D453" s="77"/>
      <c r="E453" s="77"/>
      <c r="F453" s="77"/>
      <c r="G453" s="16" t="str">
        <f>VLOOKUP(B453,IF(A453="COMPOSICAO",S!$A:$D,I!$A:$D),3,FALSE)</f>
        <v>KG</v>
      </c>
      <c r="H453" s="17">
        <v>1.1100000000000001</v>
      </c>
      <c r="I453" s="17">
        <f>IF(A453="COMPOSICAO",VLOOKUP("TOTAL - "&amp;B453,COMPOSICAO_AUX_3!$A:$J,10,FALSE),VLOOKUP(B453,I!$A:$D,4,FALSE))</f>
        <v>10.58</v>
      </c>
      <c r="J453" s="80">
        <f>TRUNC(H453*I453,2)</f>
        <v>11.74</v>
      </c>
      <c r="K453" s="81"/>
    </row>
    <row r="454" spans="1:13" ht="30" customHeight="1" x14ac:dyDescent="0.25">
      <c r="A454" s="16" t="s">
        <v>302</v>
      </c>
      <c r="B454" s="20">
        <v>88238</v>
      </c>
      <c r="C454" s="77" t="str">
        <f>VLOOKUP(B454,IF(A454="COMPOSICAO",S!$A:$D,I!$A:$D),2,FALSE)</f>
        <v>AJUDANTE DE ARMADOR COM ENCARGOS COMPLEMENTARES</v>
      </c>
      <c r="D454" s="77"/>
      <c r="E454" s="77"/>
      <c r="F454" s="77"/>
      <c r="G454" s="16" t="str">
        <f>VLOOKUP(B454,IF(A454="COMPOSICAO",S!$A:$D,I!$A:$D),3,FALSE)</f>
        <v>H</v>
      </c>
      <c r="H454" s="29">
        <v>3.2000000000000002E-3</v>
      </c>
      <c r="I454" s="17">
        <f>IF(A454="COMPOSICAO",VLOOKUP("TOTAL - "&amp;B454,COMPOSICAO_AUX_3!$A:$J,10,FALSE),VLOOKUP(B454,I!$A:$D,4,FALSE))</f>
        <v>15.19</v>
      </c>
      <c r="J454" s="80">
        <f>TRUNC(H454*I454,2)</f>
        <v>0.04</v>
      </c>
      <c r="K454" s="81"/>
    </row>
    <row r="455" spans="1:13" ht="15" customHeight="1" x14ac:dyDescent="0.25">
      <c r="A455" s="16" t="s">
        <v>302</v>
      </c>
      <c r="B455" s="20">
        <v>88245</v>
      </c>
      <c r="C455" s="77" t="str">
        <f>VLOOKUP(B455,IF(A455="COMPOSICAO",S!$A:$D,I!$A:$D),2,FALSE)</f>
        <v>ARMADOR COM ENCARGOS COMPLEMENTARES</v>
      </c>
      <c r="D455" s="77"/>
      <c r="E455" s="77"/>
      <c r="F455" s="77"/>
      <c r="G455" s="16" t="str">
        <f>VLOOKUP(B455,IF(A455="COMPOSICAO",S!$A:$D,I!$A:$D),3,FALSE)</f>
        <v>H</v>
      </c>
      <c r="H455" s="29">
        <v>2.24E-2</v>
      </c>
      <c r="I455" s="17">
        <f>IF(A455="COMPOSICAO",VLOOKUP("TOTAL - "&amp;B455,COMPOSICAO_AUX_3!$A:$J,10,FALSE),VLOOKUP(B455,I!$A:$D,4,FALSE))</f>
        <v>19.749999999999996</v>
      </c>
      <c r="J455" s="80">
        <f>TRUNC(H455*I455,2)</f>
        <v>0.44</v>
      </c>
      <c r="K455" s="81"/>
    </row>
    <row r="456" spans="1:13" ht="15" customHeight="1" x14ac:dyDescent="0.25">
      <c r="A456" s="23" t="s">
        <v>769</v>
      </c>
      <c r="B456" s="24"/>
      <c r="C456" s="24"/>
      <c r="D456" s="24"/>
      <c r="E456" s="24"/>
      <c r="F456" s="24"/>
      <c r="G456" s="25"/>
      <c r="H456" s="26"/>
      <c r="I456" s="27"/>
      <c r="J456" s="80">
        <f>SUM(J452:K455)</f>
        <v>12.219999999999999</v>
      </c>
      <c r="K456" s="81"/>
    </row>
    <row r="457" spans="1:13" ht="15" customHeight="1" x14ac:dyDescent="0.25">
      <c r="A457" s="3"/>
      <c r="B457" s="3"/>
      <c r="C457" s="3"/>
      <c r="D457" s="3"/>
      <c r="E457" s="3"/>
      <c r="F457" s="3"/>
      <c r="G457" s="3"/>
      <c r="H457" s="3"/>
      <c r="I457" s="3"/>
      <c r="J457" s="3"/>
      <c r="K457" s="3"/>
    </row>
    <row r="458" spans="1:13" ht="15" customHeight="1" x14ac:dyDescent="0.25">
      <c r="A458" s="10" t="s">
        <v>295</v>
      </c>
      <c r="B458" s="10" t="s">
        <v>31</v>
      </c>
      <c r="C458" s="82" t="s">
        <v>7</v>
      </c>
      <c r="D458" s="83"/>
      <c r="E458" s="83"/>
      <c r="F458" s="83"/>
      <c r="G458" s="6" t="s">
        <v>32</v>
      </c>
      <c r="H458" s="6" t="s">
        <v>296</v>
      </c>
      <c r="I458" s="6" t="s">
        <v>297</v>
      </c>
      <c r="J458" s="57" t="s">
        <v>9</v>
      </c>
      <c r="K458" s="58"/>
    </row>
    <row r="459" spans="1:13" ht="45" customHeight="1" x14ac:dyDescent="0.25">
      <c r="A459" s="6" t="s">
        <v>363</v>
      </c>
      <c r="B459" s="28">
        <v>92794</v>
      </c>
      <c r="C459" s="91" t="str">
        <f>VLOOKUP(B459,S!$A:$D,2,FALSE)</f>
        <v>CORTE E DOBRA DE AÇO CA-50, DIÂMETRO DE 10,0 MM, UTILIZADO EM ESTRUTURAS DIVERSAS, EXCETO LAJES. AF_12/2015</v>
      </c>
      <c r="D459" s="91"/>
      <c r="E459" s="91"/>
      <c r="F459" s="92"/>
      <c r="G459" s="6" t="str">
        <f>VLOOKUP(B459,S!$A:$D,3,FALSE)</f>
        <v>KG</v>
      </c>
      <c r="H459" s="21"/>
      <c r="I459" s="21">
        <f>J463</f>
        <v>11.32</v>
      </c>
      <c r="J459" s="76"/>
      <c r="K459" s="72"/>
      <c r="L459" s="21">
        <f>VLOOKUP(B459,S!$A:$D,4,FALSE)</f>
        <v>11.32</v>
      </c>
      <c r="M459" s="6" t="str">
        <f>IF(ROUND((L459-I459),2)=0,"OK, confere com a tabela.",IF(ROUND((L459-I459),2)&lt;0,"ACIMA ("&amp;TEXT(ROUND(I459*100/L459,4),"0,0000")&amp;" %) da tabela.","ABAIXO ("&amp;TEXT(ROUND(I459*100/L459,4),"0,0000")&amp;" %) da tabela."))</f>
        <v>OK, confere com a tabela.</v>
      </c>
    </row>
    <row r="460" spans="1:13" ht="15" customHeight="1" x14ac:dyDescent="0.25">
      <c r="A460" s="16" t="s">
        <v>306</v>
      </c>
      <c r="B460" s="20">
        <v>34</v>
      </c>
      <c r="C460" s="77" t="str">
        <f>VLOOKUP(B460,IF(A460="COMPOSICAO",S!$A:$D,I!$A:$D),2,FALSE)</f>
        <v>ACO CA-50, 10,0 MM, VERGALHAO</v>
      </c>
      <c r="D460" s="77"/>
      <c r="E460" s="77"/>
      <c r="F460" s="77"/>
      <c r="G460" s="16" t="str">
        <f>VLOOKUP(B460,IF(A460="COMPOSICAO",S!$A:$D,I!$A:$D),3,FALSE)</f>
        <v>KG</v>
      </c>
      <c r="H460" s="17">
        <v>1.1100000000000001</v>
      </c>
      <c r="I460" s="17">
        <f>IF(A460="COMPOSICAO",VLOOKUP("TOTAL - "&amp;B460,COMPOSICAO_AUX_3!$A:$J,10,FALSE),VLOOKUP(B460,I!$A:$D,4,FALSE))</f>
        <v>9.9700000000000006</v>
      </c>
      <c r="J460" s="80">
        <f>TRUNC(H460*I460,2)</f>
        <v>11.06</v>
      </c>
      <c r="K460" s="81"/>
    </row>
    <row r="461" spans="1:13" ht="30" customHeight="1" x14ac:dyDescent="0.25">
      <c r="A461" s="16" t="s">
        <v>302</v>
      </c>
      <c r="B461" s="20">
        <v>88238</v>
      </c>
      <c r="C461" s="77" t="str">
        <f>VLOOKUP(B461,IF(A461="COMPOSICAO",S!$A:$D,I!$A:$D),2,FALSE)</f>
        <v>AJUDANTE DE ARMADOR COM ENCARGOS COMPLEMENTARES</v>
      </c>
      <c r="D461" s="77"/>
      <c r="E461" s="77"/>
      <c r="F461" s="77"/>
      <c r="G461" s="16" t="str">
        <f>VLOOKUP(B461,IF(A461="COMPOSICAO",S!$A:$D,I!$A:$D),3,FALSE)</f>
        <v>H</v>
      </c>
      <c r="H461" s="29">
        <v>1.8E-3</v>
      </c>
      <c r="I461" s="17">
        <f>IF(A461="COMPOSICAO",VLOOKUP("TOTAL - "&amp;B461,COMPOSICAO_AUX_3!$A:$J,10,FALSE),VLOOKUP(B461,I!$A:$D,4,FALSE))</f>
        <v>15.19</v>
      </c>
      <c r="J461" s="80">
        <f>TRUNC(H461*I461,2)</f>
        <v>0.02</v>
      </c>
      <c r="K461" s="81"/>
    </row>
    <row r="462" spans="1:13" ht="15" customHeight="1" x14ac:dyDescent="0.25">
      <c r="A462" s="16" t="s">
        <v>302</v>
      </c>
      <c r="B462" s="20">
        <v>88245</v>
      </c>
      <c r="C462" s="77" t="str">
        <f>VLOOKUP(B462,IF(A462="COMPOSICAO",S!$A:$D,I!$A:$D),2,FALSE)</f>
        <v>ARMADOR COM ENCARGOS COMPLEMENTARES</v>
      </c>
      <c r="D462" s="77"/>
      <c r="E462" s="77"/>
      <c r="F462" s="77"/>
      <c r="G462" s="16" t="str">
        <f>VLOOKUP(B462,IF(A462="COMPOSICAO",S!$A:$D,I!$A:$D),3,FALSE)</f>
        <v>H</v>
      </c>
      <c r="H462" s="29">
        <v>1.2500000000000001E-2</v>
      </c>
      <c r="I462" s="17">
        <f>IF(A462="COMPOSICAO",VLOOKUP("TOTAL - "&amp;B462,COMPOSICAO_AUX_3!$A:$J,10,FALSE),VLOOKUP(B462,I!$A:$D,4,FALSE))</f>
        <v>19.749999999999996</v>
      </c>
      <c r="J462" s="80">
        <f>TRUNC(H462*I462,2)</f>
        <v>0.24</v>
      </c>
      <c r="K462" s="81"/>
    </row>
    <row r="463" spans="1:13" ht="15" customHeight="1" x14ac:dyDescent="0.25">
      <c r="A463" s="23" t="s">
        <v>770</v>
      </c>
      <c r="B463" s="24"/>
      <c r="C463" s="24"/>
      <c r="D463" s="24"/>
      <c r="E463" s="24"/>
      <c r="F463" s="24"/>
      <c r="G463" s="25"/>
      <c r="H463" s="26"/>
      <c r="I463" s="27"/>
      <c r="J463" s="80">
        <f>SUM(J459:K462)</f>
        <v>11.32</v>
      </c>
      <c r="K463" s="81"/>
    </row>
    <row r="464" spans="1:13" ht="15" customHeight="1" x14ac:dyDescent="0.25">
      <c r="A464" s="3"/>
      <c r="B464" s="3"/>
      <c r="C464" s="3"/>
      <c r="D464" s="3"/>
      <c r="E464" s="3"/>
      <c r="F464" s="3"/>
      <c r="G464" s="3"/>
      <c r="H464" s="3"/>
      <c r="I464" s="3"/>
      <c r="J464" s="3"/>
      <c r="K464" s="3"/>
    </row>
    <row r="465" spans="1:13" ht="15" customHeight="1" x14ac:dyDescent="0.25">
      <c r="A465" s="10" t="s">
        <v>295</v>
      </c>
      <c r="B465" s="10" t="s">
        <v>31</v>
      </c>
      <c r="C465" s="82" t="s">
        <v>7</v>
      </c>
      <c r="D465" s="83"/>
      <c r="E465" s="83"/>
      <c r="F465" s="83"/>
      <c r="G465" s="6" t="s">
        <v>32</v>
      </c>
      <c r="H465" s="6" t="s">
        <v>296</v>
      </c>
      <c r="I465" s="6" t="s">
        <v>297</v>
      </c>
      <c r="J465" s="57" t="s">
        <v>9</v>
      </c>
      <c r="K465" s="58"/>
    </row>
    <row r="466" spans="1:13" ht="45" customHeight="1" x14ac:dyDescent="0.25">
      <c r="A466" s="6" t="s">
        <v>363</v>
      </c>
      <c r="B466" s="28">
        <v>92795</v>
      </c>
      <c r="C466" s="91" t="str">
        <f>VLOOKUP(B466,S!$A:$D,2,FALSE)</f>
        <v>CORTE E DOBRA DE AÇO CA-50, DIÂMETRO DE 12,5 MM, UTILIZADO EM ESTRUTURAS DIVERSAS, EXCETO LAJES. AF_12/2015</v>
      </c>
      <c r="D466" s="91"/>
      <c r="E466" s="91"/>
      <c r="F466" s="92"/>
      <c r="G466" s="6" t="str">
        <f>VLOOKUP(B466,S!$A:$D,3,FALSE)</f>
        <v>KG</v>
      </c>
      <c r="H466" s="21"/>
      <c r="I466" s="21">
        <f>J470</f>
        <v>9.73</v>
      </c>
      <c r="J466" s="76"/>
      <c r="K466" s="72"/>
      <c r="L466" s="21">
        <f>VLOOKUP(B466,S!$A:$D,4,FALSE)</f>
        <v>9.73</v>
      </c>
      <c r="M466" s="6" t="str">
        <f>IF(ROUND((L466-I466),2)=0,"OK, confere com a tabela.",IF(ROUND((L466-I466),2)&lt;0,"ACIMA ("&amp;TEXT(ROUND(I466*100/L466,4),"0,0000")&amp;" %) da tabela.","ABAIXO ("&amp;TEXT(ROUND(I466*100/L466,4),"0,0000")&amp;" %) da tabela."))</f>
        <v>OK, confere com a tabela.</v>
      </c>
    </row>
    <row r="467" spans="1:13" ht="15" customHeight="1" x14ac:dyDescent="0.25">
      <c r="A467" s="16" t="s">
        <v>306</v>
      </c>
      <c r="B467" s="20">
        <v>43055</v>
      </c>
      <c r="C467" s="77" t="str">
        <f>VLOOKUP(B467,IF(A467="COMPOSICAO",S!$A:$D,I!$A:$D),2,FALSE)</f>
        <v>ACO CA-50, 12,5 MM OU 16,0 MM, VERGALHAO</v>
      </c>
      <c r="D467" s="77"/>
      <c r="E467" s="77"/>
      <c r="F467" s="77"/>
      <c r="G467" s="16" t="str">
        <f>VLOOKUP(B467,IF(A467="COMPOSICAO",S!$A:$D,I!$A:$D),3,FALSE)</f>
        <v>KG</v>
      </c>
      <c r="H467" s="17">
        <v>1.1100000000000001</v>
      </c>
      <c r="I467" s="17">
        <f>IF(A467="COMPOSICAO",VLOOKUP("TOTAL - "&amp;B467,COMPOSICAO_AUX_3!$A:$J,10,FALSE),VLOOKUP(B467,I!$A:$D,4,FALSE))</f>
        <v>8.64</v>
      </c>
      <c r="J467" s="80">
        <f>TRUNC(H467*I467,2)</f>
        <v>9.59</v>
      </c>
      <c r="K467" s="81"/>
    </row>
    <row r="468" spans="1:13" ht="30" customHeight="1" x14ac:dyDescent="0.25">
      <c r="A468" s="16" t="s">
        <v>302</v>
      </c>
      <c r="B468" s="20">
        <v>88238</v>
      </c>
      <c r="C468" s="77" t="str">
        <f>VLOOKUP(B468,IF(A468="COMPOSICAO",S!$A:$D,I!$A:$D),2,FALSE)</f>
        <v>AJUDANTE DE ARMADOR COM ENCARGOS COMPLEMENTARES</v>
      </c>
      <c r="D468" s="77"/>
      <c r="E468" s="77"/>
      <c r="F468" s="77"/>
      <c r="G468" s="16" t="str">
        <f>VLOOKUP(B468,IF(A468="COMPOSICAO",S!$A:$D,I!$A:$D),3,FALSE)</f>
        <v>H</v>
      </c>
      <c r="H468" s="30">
        <v>1E-3</v>
      </c>
      <c r="I468" s="17">
        <f>IF(A468="COMPOSICAO",VLOOKUP("TOTAL - "&amp;B468,COMPOSICAO_AUX_3!$A:$J,10,FALSE),VLOOKUP(B468,I!$A:$D,4,FALSE))</f>
        <v>15.19</v>
      </c>
      <c r="J468" s="80">
        <f>TRUNC(H468*I468,2)</f>
        <v>0.01</v>
      </c>
      <c r="K468" s="81"/>
    </row>
    <row r="469" spans="1:13" ht="15" customHeight="1" x14ac:dyDescent="0.25">
      <c r="A469" s="16" t="s">
        <v>302</v>
      </c>
      <c r="B469" s="20">
        <v>88245</v>
      </c>
      <c r="C469" s="77" t="str">
        <f>VLOOKUP(B469,IF(A469="COMPOSICAO",S!$A:$D,I!$A:$D),2,FALSE)</f>
        <v>ARMADOR COM ENCARGOS COMPLEMENTARES</v>
      </c>
      <c r="D469" s="77"/>
      <c r="E469" s="77"/>
      <c r="F469" s="77"/>
      <c r="G469" s="16" t="str">
        <f>VLOOKUP(B469,IF(A469="COMPOSICAO",S!$A:$D,I!$A:$D),3,FALSE)</f>
        <v>H</v>
      </c>
      <c r="H469" s="30">
        <v>7.0000000000000001E-3</v>
      </c>
      <c r="I469" s="17">
        <f>IF(A469="COMPOSICAO",VLOOKUP("TOTAL - "&amp;B469,COMPOSICAO_AUX_3!$A:$J,10,FALSE),VLOOKUP(B469,I!$A:$D,4,FALSE))</f>
        <v>19.749999999999996</v>
      </c>
      <c r="J469" s="80">
        <f>TRUNC(H469*I469,2)</f>
        <v>0.13</v>
      </c>
      <c r="K469" s="81"/>
    </row>
    <row r="470" spans="1:13" ht="15" customHeight="1" x14ac:dyDescent="0.25">
      <c r="A470" s="23" t="s">
        <v>771</v>
      </c>
      <c r="B470" s="24"/>
      <c r="C470" s="24"/>
      <c r="D470" s="24"/>
      <c r="E470" s="24"/>
      <c r="F470" s="24"/>
      <c r="G470" s="25"/>
      <c r="H470" s="26"/>
      <c r="I470" s="27"/>
      <c r="J470" s="80">
        <f>SUM(J466:K469)</f>
        <v>9.73</v>
      </c>
      <c r="K470" s="81"/>
    </row>
    <row r="471" spans="1:13" ht="15" customHeight="1" x14ac:dyDescent="0.25">
      <c r="A471" s="3"/>
      <c r="B471" s="3"/>
      <c r="C471" s="3"/>
      <c r="D471" s="3"/>
      <c r="E471" s="3"/>
      <c r="F471" s="3"/>
      <c r="G471" s="3"/>
      <c r="H471" s="3"/>
      <c r="I471" s="3"/>
      <c r="J471" s="3"/>
      <c r="K471" s="3"/>
    </row>
    <row r="472" spans="1:13" ht="15" customHeight="1" x14ac:dyDescent="0.25">
      <c r="A472" s="10" t="s">
        <v>295</v>
      </c>
      <c r="B472" s="10" t="s">
        <v>31</v>
      </c>
      <c r="C472" s="82" t="s">
        <v>7</v>
      </c>
      <c r="D472" s="83"/>
      <c r="E472" s="83"/>
      <c r="F472" s="83"/>
      <c r="G472" s="6" t="s">
        <v>32</v>
      </c>
      <c r="H472" s="6" t="s">
        <v>296</v>
      </c>
      <c r="I472" s="6" t="s">
        <v>297</v>
      </c>
      <c r="J472" s="57" t="s">
        <v>9</v>
      </c>
      <c r="K472" s="58"/>
    </row>
    <row r="473" spans="1:13" ht="45" customHeight="1" x14ac:dyDescent="0.25">
      <c r="A473" s="6" t="s">
        <v>363</v>
      </c>
      <c r="B473" s="28">
        <v>92796</v>
      </c>
      <c r="C473" s="91" t="str">
        <f>VLOOKUP(B473,S!$A:$D,2,FALSE)</f>
        <v>CORTE E DOBRA DE AÇO CA-50, DIÂMETRO DE 16,0 MM, UTILIZADO EM ESTRUTURAS DIVERSAS, EXCETO LAJES. AF_12/2015</v>
      </c>
      <c r="D473" s="91"/>
      <c r="E473" s="91"/>
      <c r="F473" s="92"/>
      <c r="G473" s="6" t="str">
        <f>VLOOKUP(B473,S!$A:$D,3,FALSE)</f>
        <v>KG</v>
      </c>
      <c r="H473" s="21"/>
      <c r="I473" s="21">
        <f>J476</f>
        <v>9.66</v>
      </c>
      <c r="J473" s="76"/>
      <c r="K473" s="72"/>
      <c r="L473" s="21">
        <f>VLOOKUP(B473,S!$A:$D,4,FALSE)</f>
        <v>9.66</v>
      </c>
      <c r="M473" s="6" t="str">
        <f>IF(ROUND((L473-I473),2)=0,"OK, confere com a tabela.",IF(ROUND((L473-I473),2)&lt;0,"ACIMA ("&amp;TEXT(ROUND(I473*100/L473,4),"0,0000")&amp;" %) da tabela.","ABAIXO ("&amp;TEXT(ROUND(I473*100/L473,4),"0,0000")&amp;" %) da tabela."))</f>
        <v>OK, confere com a tabela.</v>
      </c>
    </row>
    <row r="474" spans="1:13" ht="15" customHeight="1" x14ac:dyDescent="0.25">
      <c r="A474" s="16" t="s">
        <v>306</v>
      </c>
      <c r="B474" s="20">
        <v>43055</v>
      </c>
      <c r="C474" s="77" t="str">
        <f>VLOOKUP(B474,IF(A474="COMPOSICAO",S!$A:$D,I!$A:$D),2,FALSE)</f>
        <v>ACO CA-50, 12,5 MM OU 16,0 MM, VERGALHAO</v>
      </c>
      <c r="D474" s="77"/>
      <c r="E474" s="77"/>
      <c r="F474" s="77"/>
      <c r="G474" s="16" t="str">
        <f>VLOOKUP(B474,IF(A474="COMPOSICAO",S!$A:$D,I!$A:$D),3,FALSE)</f>
        <v>KG</v>
      </c>
      <c r="H474" s="17">
        <v>1.1100000000000001</v>
      </c>
      <c r="I474" s="17">
        <f>IF(A474="COMPOSICAO",VLOOKUP("TOTAL - "&amp;B474,COMPOSICAO_AUX_3!$A:$J,10,FALSE),VLOOKUP(B474,I!$A:$D,4,FALSE))</f>
        <v>8.64</v>
      </c>
      <c r="J474" s="80">
        <f>TRUNC(H474*I474,2)</f>
        <v>9.59</v>
      </c>
      <c r="K474" s="81"/>
    </row>
    <row r="475" spans="1:13" ht="15" customHeight="1" x14ac:dyDescent="0.25">
      <c r="A475" s="16" t="s">
        <v>302</v>
      </c>
      <c r="B475" s="20">
        <v>88245</v>
      </c>
      <c r="C475" s="77" t="str">
        <f>VLOOKUP(B475,IF(A475="COMPOSICAO",S!$A:$D,I!$A:$D),2,FALSE)</f>
        <v>ARMADOR COM ENCARGOS COMPLEMENTARES</v>
      </c>
      <c r="D475" s="77"/>
      <c r="E475" s="77"/>
      <c r="F475" s="77"/>
      <c r="G475" s="16" t="str">
        <f>VLOOKUP(B475,IF(A475="COMPOSICAO",S!$A:$D,I!$A:$D),3,FALSE)</f>
        <v>H</v>
      </c>
      <c r="H475" s="29">
        <v>3.7000000000000002E-3</v>
      </c>
      <c r="I475" s="17">
        <f>IF(A475="COMPOSICAO",VLOOKUP("TOTAL - "&amp;B475,COMPOSICAO_AUX_3!$A:$J,10,FALSE),VLOOKUP(B475,I!$A:$D,4,FALSE))</f>
        <v>19.749999999999996</v>
      </c>
      <c r="J475" s="80">
        <f>TRUNC(H475*I475,2)</f>
        <v>7.0000000000000007E-2</v>
      </c>
      <c r="K475" s="81"/>
    </row>
    <row r="476" spans="1:13" ht="15" customHeight="1" x14ac:dyDescent="0.25">
      <c r="A476" s="23" t="s">
        <v>772</v>
      </c>
      <c r="B476" s="24"/>
      <c r="C476" s="24"/>
      <c r="D476" s="24"/>
      <c r="E476" s="24"/>
      <c r="F476" s="24"/>
      <c r="G476" s="25"/>
      <c r="H476" s="26"/>
      <c r="I476" s="27"/>
      <c r="J476" s="80">
        <f>SUM(J473:K475)</f>
        <v>9.66</v>
      </c>
      <c r="K476" s="81"/>
    </row>
    <row r="477" spans="1:13" ht="15" customHeight="1" x14ac:dyDescent="0.25">
      <c r="A477" s="3"/>
      <c r="B477" s="3"/>
      <c r="C477" s="3"/>
      <c r="D477" s="3"/>
      <c r="E477" s="3"/>
      <c r="F477" s="3"/>
      <c r="G477" s="3"/>
      <c r="H477" s="3"/>
      <c r="I477" s="3"/>
      <c r="J477" s="3"/>
      <c r="K477" s="3"/>
    </row>
    <row r="478" spans="1:13" ht="15" customHeight="1" x14ac:dyDescent="0.25">
      <c r="A478" s="10" t="s">
        <v>295</v>
      </c>
      <c r="B478" s="10" t="s">
        <v>31</v>
      </c>
      <c r="C478" s="82" t="s">
        <v>7</v>
      </c>
      <c r="D478" s="83"/>
      <c r="E478" s="83"/>
      <c r="F478" s="83"/>
      <c r="G478" s="6" t="s">
        <v>32</v>
      </c>
      <c r="H478" s="6" t="s">
        <v>296</v>
      </c>
      <c r="I478" s="6" t="s">
        <v>297</v>
      </c>
      <c r="J478" s="57" t="s">
        <v>9</v>
      </c>
      <c r="K478" s="58"/>
    </row>
    <row r="479" spans="1:13" ht="45" customHeight="1" x14ac:dyDescent="0.25">
      <c r="A479" s="6" t="s">
        <v>363</v>
      </c>
      <c r="B479" s="28">
        <v>92797</v>
      </c>
      <c r="C479" s="91" t="str">
        <f>VLOOKUP(B479,S!$A:$D,2,FALSE)</f>
        <v>CORTE E DOBRA DE AÇO CA-50, DIÂMETRO DE 20,0 MM, UTILIZADO EM ESTRUTURAS DIVERSAS, EXCETO LAJES. AF_12/2015</v>
      </c>
      <c r="D479" s="91"/>
      <c r="E479" s="91"/>
      <c r="F479" s="92"/>
      <c r="G479" s="6" t="str">
        <f>VLOOKUP(B479,S!$A:$D,3,FALSE)</f>
        <v>KG</v>
      </c>
      <c r="H479" s="21"/>
      <c r="I479" s="21">
        <f>J482</f>
        <v>11.379999999999999</v>
      </c>
      <c r="J479" s="76"/>
      <c r="K479" s="72"/>
      <c r="L479" s="21">
        <f>VLOOKUP(B479,S!$A:$D,4,FALSE)</f>
        <v>11.38</v>
      </c>
      <c r="M479" s="6" t="str">
        <f>IF(ROUND((L479-I479),2)=0,"OK, confere com a tabela.",IF(ROUND((L479-I479),2)&lt;0,"ACIMA ("&amp;TEXT(ROUND(I479*100/L479,4),"0,0000")&amp;" %) da tabela.","ABAIXO ("&amp;TEXT(ROUND(I479*100/L479,4),"0,0000")&amp;" %) da tabela."))</f>
        <v>OK, confere com a tabela.</v>
      </c>
    </row>
    <row r="480" spans="1:13" ht="15" customHeight="1" x14ac:dyDescent="0.25">
      <c r="A480" s="16" t="s">
        <v>306</v>
      </c>
      <c r="B480" s="20">
        <v>43056</v>
      </c>
      <c r="C480" s="77" t="str">
        <f>VLOOKUP(B480,IF(A480="COMPOSICAO",S!$A:$D,I!$A:$D),2,FALSE)</f>
        <v>ACO CA-50, 20,0 MM OU 25,0 MM, VERGALHAO</v>
      </c>
      <c r="D480" s="77"/>
      <c r="E480" s="77"/>
      <c r="F480" s="77"/>
      <c r="G480" s="16" t="str">
        <f>VLOOKUP(B480,IF(A480="COMPOSICAO",S!$A:$D,I!$A:$D),3,FALSE)</f>
        <v>KG</v>
      </c>
      <c r="H480" s="17">
        <v>1.1399999999999999</v>
      </c>
      <c r="I480" s="17">
        <f>IF(A480="COMPOSICAO",VLOOKUP("TOTAL - "&amp;B480,COMPOSICAO_AUX_3!$A:$J,10,FALSE),VLOOKUP(B480,I!$A:$D,4,FALSE))</f>
        <v>9.9600000000000009</v>
      </c>
      <c r="J480" s="80">
        <f>TRUNC(H480*I480,2)</f>
        <v>11.35</v>
      </c>
      <c r="K480" s="81"/>
    </row>
    <row r="481" spans="1:13" ht="15" customHeight="1" x14ac:dyDescent="0.25">
      <c r="A481" s="16" t="s">
        <v>302</v>
      </c>
      <c r="B481" s="20">
        <v>88245</v>
      </c>
      <c r="C481" s="77" t="str">
        <f>VLOOKUP(B481,IF(A481="COMPOSICAO",S!$A:$D,I!$A:$D),2,FALSE)</f>
        <v>ARMADOR COM ENCARGOS COMPLEMENTARES</v>
      </c>
      <c r="D481" s="77"/>
      <c r="E481" s="77"/>
      <c r="F481" s="77"/>
      <c r="G481" s="16" t="str">
        <f>VLOOKUP(B481,IF(A481="COMPOSICAO",S!$A:$D,I!$A:$D),3,FALSE)</f>
        <v>H</v>
      </c>
      <c r="H481" s="30">
        <v>2E-3</v>
      </c>
      <c r="I481" s="17">
        <f>IF(A481="COMPOSICAO",VLOOKUP("TOTAL - "&amp;B481,COMPOSICAO_AUX_3!$A:$J,10,FALSE),VLOOKUP(B481,I!$A:$D,4,FALSE))</f>
        <v>19.749999999999996</v>
      </c>
      <c r="J481" s="80">
        <f>TRUNC(H481*I481,2)</f>
        <v>0.03</v>
      </c>
      <c r="K481" s="81"/>
    </row>
    <row r="482" spans="1:13" ht="15" customHeight="1" x14ac:dyDescent="0.25">
      <c r="A482" s="23" t="s">
        <v>773</v>
      </c>
      <c r="B482" s="24"/>
      <c r="C482" s="24"/>
      <c r="D482" s="24"/>
      <c r="E482" s="24"/>
      <c r="F482" s="24"/>
      <c r="G482" s="25"/>
      <c r="H482" s="26"/>
      <c r="I482" s="27"/>
      <c r="J482" s="80">
        <f>SUM(J479:K481)</f>
        <v>11.379999999999999</v>
      </c>
      <c r="K482" s="81"/>
    </row>
    <row r="483" spans="1:13" ht="15" customHeight="1" x14ac:dyDescent="0.25">
      <c r="A483" s="3"/>
      <c r="B483" s="3"/>
      <c r="C483" s="3"/>
      <c r="D483" s="3"/>
      <c r="E483" s="3"/>
      <c r="F483" s="3"/>
      <c r="G483" s="3"/>
      <c r="H483" s="3"/>
      <c r="I483" s="3"/>
      <c r="J483" s="3"/>
      <c r="K483" s="3"/>
    </row>
    <row r="484" spans="1:13" ht="15" customHeight="1" x14ac:dyDescent="0.25">
      <c r="A484" s="10" t="s">
        <v>295</v>
      </c>
      <c r="B484" s="10" t="s">
        <v>31</v>
      </c>
      <c r="C484" s="82" t="s">
        <v>7</v>
      </c>
      <c r="D484" s="83"/>
      <c r="E484" s="83"/>
      <c r="F484" s="83"/>
      <c r="G484" s="6" t="s">
        <v>32</v>
      </c>
      <c r="H484" s="6" t="s">
        <v>296</v>
      </c>
      <c r="I484" s="6" t="s">
        <v>297</v>
      </c>
      <c r="J484" s="57" t="s">
        <v>9</v>
      </c>
      <c r="K484" s="58"/>
    </row>
    <row r="485" spans="1:13" ht="45" customHeight="1" x14ac:dyDescent="0.25">
      <c r="A485" s="6" t="s">
        <v>363</v>
      </c>
      <c r="B485" s="28">
        <v>92798</v>
      </c>
      <c r="C485" s="91" t="str">
        <f>VLOOKUP(B485,S!$A:$D,2,FALSE)</f>
        <v>CORTE E DOBRA DE AÇO CA-50, DIÂMETRO DE 25,0 MM, UTILIZADO EM ESTRUTURAS DIVERSAS, EXCETO LAJES. AF_12/2015</v>
      </c>
      <c r="D485" s="91"/>
      <c r="E485" s="91"/>
      <c r="F485" s="92"/>
      <c r="G485" s="6" t="str">
        <f>VLOOKUP(B485,S!$A:$D,3,FALSE)</f>
        <v>KG</v>
      </c>
      <c r="H485" s="21"/>
      <c r="I485" s="21">
        <f>J488</f>
        <v>11.37</v>
      </c>
      <c r="J485" s="76"/>
      <c r="K485" s="72"/>
      <c r="L485" s="21">
        <f>VLOOKUP(B485,S!$A:$D,4,FALSE)</f>
        <v>11.37</v>
      </c>
      <c r="M485" s="6" t="str">
        <f>IF(ROUND((L485-I485),2)=0,"OK, confere com a tabela.",IF(ROUND((L485-I485),2)&lt;0,"ACIMA ("&amp;TEXT(ROUND(I485*100/L485,4),"0,0000")&amp;" %) da tabela.","ABAIXO ("&amp;TEXT(ROUND(I485*100/L485,4),"0,0000")&amp;" %) da tabela."))</f>
        <v>OK, confere com a tabela.</v>
      </c>
    </row>
    <row r="486" spans="1:13" ht="15" customHeight="1" x14ac:dyDescent="0.25">
      <c r="A486" s="16" t="s">
        <v>306</v>
      </c>
      <c r="B486" s="20">
        <v>43056</v>
      </c>
      <c r="C486" s="77" t="str">
        <f>VLOOKUP(B486,IF(A486="COMPOSICAO",S!$A:$D,I!$A:$D),2,FALSE)</f>
        <v>ACO CA-50, 20,0 MM OU 25,0 MM, VERGALHAO</v>
      </c>
      <c r="D486" s="77"/>
      <c r="E486" s="77"/>
      <c r="F486" s="77"/>
      <c r="G486" s="16" t="str">
        <f>VLOOKUP(B486,IF(A486="COMPOSICAO",S!$A:$D,I!$A:$D),3,FALSE)</f>
        <v>KG</v>
      </c>
      <c r="H486" s="17">
        <v>1.1399999999999999</v>
      </c>
      <c r="I486" s="17">
        <f>IF(A486="COMPOSICAO",VLOOKUP("TOTAL - "&amp;B486,COMPOSICAO_AUX_3!$A:$J,10,FALSE),VLOOKUP(B486,I!$A:$D,4,FALSE))</f>
        <v>9.9600000000000009</v>
      </c>
      <c r="J486" s="80">
        <f>TRUNC(H486*I486,2)</f>
        <v>11.35</v>
      </c>
      <c r="K486" s="81"/>
    </row>
    <row r="487" spans="1:13" ht="15" customHeight="1" x14ac:dyDescent="0.25">
      <c r="A487" s="16" t="s">
        <v>302</v>
      </c>
      <c r="B487" s="20">
        <v>88245</v>
      </c>
      <c r="C487" s="77" t="str">
        <f>VLOOKUP(B487,IF(A487="COMPOSICAO",S!$A:$D,I!$A:$D),2,FALSE)</f>
        <v>ARMADOR COM ENCARGOS COMPLEMENTARES</v>
      </c>
      <c r="D487" s="77"/>
      <c r="E487" s="77"/>
      <c r="F487" s="77"/>
      <c r="G487" s="16" t="str">
        <f>VLOOKUP(B487,IF(A487="COMPOSICAO",S!$A:$D,I!$A:$D),3,FALSE)</f>
        <v>H</v>
      </c>
      <c r="H487" s="29">
        <v>1.1000000000000001E-3</v>
      </c>
      <c r="I487" s="17">
        <f>IF(A487="COMPOSICAO",VLOOKUP("TOTAL - "&amp;B487,COMPOSICAO_AUX_3!$A:$J,10,FALSE),VLOOKUP(B487,I!$A:$D,4,FALSE))</f>
        <v>19.749999999999996</v>
      </c>
      <c r="J487" s="80">
        <f>TRUNC(H487*I487,2)</f>
        <v>0.02</v>
      </c>
      <c r="K487" s="81"/>
    </row>
    <row r="488" spans="1:13" ht="15" customHeight="1" x14ac:dyDescent="0.25">
      <c r="A488" s="23" t="s">
        <v>774</v>
      </c>
      <c r="B488" s="24"/>
      <c r="C488" s="24"/>
      <c r="D488" s="24"/>
      <c r="E488" s="24"/>
      <c r="F488" s="24"/>
      <c r="G488" s="25"/>
      <c r="H488" s="26"/>
      <c r="I488" s="27"/>
      <c r="J488" s="80">
        <f>SUM(J485:K487)</f>
        <v>11.37</v>
      </c>
      <c r="K488" s="81"/>
    </row>
    <row r="489" spans="1:13" ht="15" customHeight="1" x14ac:dyDescent="0.25">
      <c r="A489" s="3"/>
      <c r="B489" s="3"/>
      <c r="C489" s="3"/>
      <c r="D489" s="3"/>
      <c r="E489" s="3"/>
      <c r="F489" s="3"/>
      <c r="G489" s="3"/>
      <c r="H489" s="3"/>
      <c r="I489" s="3"/>
      <c r="J489" s="3"/>
      <c r="K489" s="3"/>
    </row>
    <row r="490" spans="1:13" ht="15" customHeight="1" x14ac:dyDescent="0.25">
      <c r="A490" s="10" t="s">
        <v>295</v>
      </c>
      <c r="B490" s="10" t="s">
        <v>31</v>
      </c>
      <c r="C490" s="82" t="s">
        <v>7</v>
      </c>
      <c r="D490" s="83"/>
      <c r="E490" s="83"/>
      <c r="F490" s="83"/>
      <c r="G490" s="6" t="s">
        <v>32</v>
      </c>
      <c r="H490" s="6" t="s">
        <v>296</v>
      </c>
      <c r="I490" s="6" t="s">
        <v>297</v>
      </c>
      <c r="J490" s="57" t="s">
        <v>9</v>
      </c>
      <c r="K490" s="58"/>
    </row>
    <row r="491" spans="1:13" ht="30" customHeight="1" x14ac:dyDescent="0.25">
      <c r="A491" s="6" t="s">
        <v>363</v>
      </c>
      <c r="B491" s="28">
        <v>92800</v>
      </c>
      <c r="C491" s="91" t="str">
        <f>VLOOKUP(B491,S!$A:$D,2,FALSE)</f>
        <v>CORTE E DOBRA DE AÇO CA-60, DIÂMETRO DE 5,0 MM, UTILIZADO EM LAJE. AF_12/2015</v>
      </c>
      <c r="D491" s="91"/>
      <c r="E491" s="91"/>
      <c r="F491" s="92"/>
      <c r="G491" s="6" t="str">
        <f>VLOOKUP(B491,S!$A:$D,3,FALSE)</f>
        <v>KG</v>
      </c>
      <c r="H491" s="21"/>
      <c r="I491" s="21">
        <f>J495</f>
        <v>11.36</v>
      </c>
      <c r="J491" s="76"/>
      <c r="K491" s="72"/>
      <c r="L491" s="21">
        <f>VLOOKUP(B491,S!$A:$D,4,FALSE)</f>
        <v>11.36</v>
      </c>
      <c r="M491" s="6" t="str">
        <f>IF(ROUND((L491-I491),2)=0,"OK, confere com a tabela.",IF(ROUND((L491-I491),2)&lt;0,"ACIMA ("&amp;TEXT(ROUND(I491*100/L491,4),"0,0000")&amp;" %) da tabela.","ABAIXO ("&amp;TEXT(ROUND(I491*100/L491,4),"0,0000")&amp;" %) da tabela."))</f>
        <v>OK, confere com a tabela.</v>
      </c>
    </row>
    <row r="492" spans="1:13" ht="30" customHeight="1" x14ac:dyDescent="0.25">
      <c r="A492" s="16" t="s">
        <v>306</v>
      </c>
      <c r="B492" s="20">
        <v>43059</v>
      </c>
      <c r="C492" s="77" t="str">
        <f>VLOOKUP(B492,IF(A492="COMPOSICAO",S!$A:$D,I!$A:$D),2,FALSE)</f>
        <v>ACO CA-60, 4,2 MM, OU 5,0 MM, OU 6,0 MM, OU 7,0 MM, VERGALHAO</v>
      </c>
      <c r="D492" s="77"/>
      <c r="E492" s="77"/>
      <c r="F492" s="77"/>
      <c r="G492" s="16" t="str">
        <f>VLOOKUP(B492,IF(A492="COMPOSICAO",S!$A:$D,I!$A:$D),3,FALSE)</f>
        <v>KG</v>
      </c>
      <c r="H492" s="17">
        <v>1.07</v>
      </c>
      <c r="I492" s="17">
        <f>IF(A492="COMPOSICAO",VLOOKUP("TOTAL - "&amp;B492,COMPOSICAO_AUX_3!$A:$J,10,FALSE),VLOOKUP(B492,I!$A:$D,4,FALSE))</f>
        <v>9.44</v>
      </c>
      <c r="J492" s="80">
        <f>TRUNC(H492*I492,2)</f>
        <v>10.1</v>
      </c>
      <c r="K492" s="81"/>
    </row>
    <row r="493" spans="1:13" ht="30" customHeight="1" x14ac:dyDescent="0.25">
      <c r="A493" s="16" t="s">
        <v>302</v>
      </c>
      <c r="B493" s="20">
        <v>88238</v>
      </c>
      <c r="C493" s="77" t="str">
        <f>VLOOKUP(B493,IF(A493="COMPOSICAO",S!$A:$D,I!$A:$D),2,FALSE)</f>
        <v>AJUDANTE DE ARMADOR COM ENCARGOS COMPLEMENTARES</v>
      </c>
      <c r="D493" s="77"/>
      <c r="E493" s="77"/>
      <c r="F493" s="77"/>
      <c r="G493" s="16" t="str">
        <f>VLOOKUP(B493,IF(A493="COMPOSICAO",S!$A:$D,I!$A:$D),3,FALSE)</f>
        <v>H</v>
      </c>
      <c r="H493" s="29">
        <v>8.2000000000000007E-3</v>
      </c>
      <c r="I493" s="17">
        <f>IF(A493="COMPOSICAO",VLOOKUP("TOTAL - "&amp;B493,COMPOSICAO_AUX_3!$A:$J,10,FALSE),VLOOKUP(B493,I!$A:$D,4,FALSE))</f>
        <v>15.19</v>
      </c>
      <c r="J493" s="80">
        <f>TRUNC(H493*I493,2)</f>
        <v>0.12</v>
      </c>
      <c r="K493" s="81"/>
    </row>
    <row r="494" spans="1:13" ht="15" customHeight="1" x14ac:dyDescent="0.25">
      <c r="A494" s="16" t="s">
        <v>302</v>
      </c>
      <c r="B494" s="20">
        <v>88245</v>
      </c>
      <c r="C494" s="77" t="str">
        <f>VLOOKUP(B494,IF(A494="COMPOSICAO",S!$A:$D,I!$A:$D),2,FALSE)</f>
        <v>ARMADOR COM ENCARGOS COMPLEMENTARES</v>
      </c>
      <c r="D494" s="77"/>
      <c r="E494" s="77"/>
      <c r="F494" s="77"/>
      <c r="G494" s="16" t="str">
        <f>VLOOKUP(B494,IF(A494="COMPOSICAO",S!$A:$D,I!$A:$D),3,FALSE)</f>
        <v>H</v>
      </c>
      <c r="H494" s="29">
        <v>5.8099999999999999E-2</v>
      </c>
      <c r="I494" s="17">
        <f>IF(A494="COMPOSICAO",VLOOKUP("TOTAL - "&amp;B494,COMPOSICAO_AUX_3!$A:$J,10,FALSE),VLOOKUP(B494,I!$A:$D,4,FALSE))</f>
        <v>19.749999999999996</v>
      </c>
      <c r="J494" s="80">
        <f>TRUNC(H494*I494,2)</f>
        <v>1.1399999999999999</v>
      </c>
      <c r="K494" s="81"/>
    </row>
    <row r="495" spans="1:13" ht="15" customHeight="1" x14ac:dyDescent="0.25">
      <c r="A495" s="23" t="s">
        <v>775</v>
      </c>
      <c r="B495" s="24"/>
      <c r="C495" s="24"/>
      <c r="D495" s="24"/>
      <c r="E495" s="24"/>
      <c r="F495" s="24"/>
      <c r="G495" s="25"/>
      <c r="H495" s="26"/>
      <c r="I495" s="27"/>
      <c r="J495" s="80">
        <f>SUM(J491:K494)</f>
        <v>11.36</v>
      </c>
      <c r="K495" s="81"/>
    </row>
    <row r="496" spans="1:13" ht="15" customHeight="1" x14ac:dyDescent="0.25">
      <c r="A496" s="3"/>
      <c r="B496" s="3"/>
      <c r="C496" s="3"/>
      <c r="D496" s="3"/>
      <c r="E496" s="3"/>
      <c r="F496" s="3"/>
      <c r="G496" s="3"/>
      <c r="H496" s="3"/>
      <c r="I496" s="3"/>
      <c r="J496" s="3"/>
      <c r="K496" s="3"/>
    </row>
    <row r="497" spans="1:13" ht="15" customHeight="1" x14ac:dyDescent="0.25">
      <c r="A497" s="10" t="s">
        <v>295</v>
      </c>
      <c r="B497" s="10" t="s">
        <v>31</v>
      </c>
      <c r="C497" s="82" t="s">
        <v>7</v>
      </c>
      <c r="D497" s="83"/>
      <c r="E497" s="83"/>
      <c r="F497" s="83"/>
      <c r="G497" s="6" t="s">
        <v>32</v>
      </c>
      <c r="H497" s="6" t="s">
        <v>296</v>
      </c>
      <c r="I497" s="6" t="s">
        <v>297</v>
      </c>
      <c r="J497" s="57" t="s">
        <v>9</v>
      </c>
      <c r="K497" s="58"/>
    </row>
    <row r="498" spans="1:13" ht="30" customHeight="1" x14ac:dyDescent="0.25">
      <c r="A498" s="6" t="s">
        <v>363</v>
      </c>
      <c r="B498" s="28">
        <v>92801</v>
      </c>
      <c r="C498" s="91" t="str">
        <f>VLOOKUP(B498,S!$A:$D,2,FALSE)</f>
        <v>CORTE E DOBRA DE AÇO CA-50, DIÂMETRO DE 6,3 MM, UTILIZADO EM LAJE. AF_12/2015</v>
      </c>
      <c r="D498" s="91"/>
      <c r="E498" s="91"/>
      <c r="F498" s="92"/>
      <c r="G498" s="6" t="str">
        <f>VLOOKUP(B498,S!$A:$D,3,FALSE)</f>
        <v>KG</v>
      </c>
      <c r="H498" s="21"/>
      <c r="I498" s="21">
        <f>J502</f>
        <v>11.92</v>
      </c>
      <c r="J498" s="76"/>
      <c r="K498" s="72"/>
      <c r="L498" s="21">
        <f>VLOOKUP(B498,S!$A:$D,4,FALSE)</f>
        <v>11.92</v>
      </c>
      <c r="M498" s="6" t="str">
        <f>IF(ROUND((L498-I498),2)=0,"OK, confere com a tabela.",IF(ROUND((L498-I498),2)&lt;0,"ACIMA ("&amp;TEXT(ROUND(I498*100/L498,4),"0,0000")&amp;" %) da tabela.","ABAIXO ("&amp;TEXT(ROUND(I498*100/L498,4),"0,0000")&amp;" %) da tabela."))</f>
        <v>OK, confere com a tabela.</v>
      </c>
    </row>
    <row r="499" spans="1:13" ht="15" customHeight="1" x14ac:dyDescent="0.25">
      <c r="A499" s="16" t="s">
        <v>306</v>
      </c>
      <c r="B499" s="20">
        <v>32</v>
      </c>
      <c r="C499" s="77" t="str">
        <f>VLOOKUP(B499,IF(A499="COMPOSICAO",S!$A:$D,I!$A:$D),2,FALSE)</f>
        <v>ACO CA-50, 6,3 MM, VERGALHAO</v>
      </c>
      <c r="D499" s="77"/>
      <c r="E499" s="77"/>
      <c r="F499" s="77"/>
      <c r="G499" s="16" t="str">
        <f>VLOOKUP(B499,IF(A499="COMPOSICAO",S!$A:$D,I!$A:$D),3,FALSE)</f>
        <v>KG</v>
      </c>
      <c r="H499" s="17">
        <v>1.07</v>
      </c>
      <c r="I499" s="17">
        <f>IF(A499="COMPOSICAO",VLOOKUP("TOTAL - "&amp;B499,COMPOSICAO_AUX_3!$A:$J,10,FALSE),VLOOKUP(B499,I!$A:$D,4,FALSE))</f>
        <v>10.52</v>
      </c>
      <c r="J499" s="80">
        <f>TRUNC(H499*I499,2)</f>
        <v>11.25</v>
      </c>
      <c r="K499" s="81"/>
    </row>
    <row r="500" spans="1:13" ht="30" customHeight="1" x14ac:dyDescent="0.25">
      <c r="A500" s="16" t="s">
        <v>302</v>
      </c>
      <c r="B500" s="20">
        <v>88238</v>
      </c>
      <c r="C500" s="77" t="str">
        <f>VLOOKUP(B500,IF(A500="COMPOSICAO",S!$A:$D,I!$A:$D),2,FALSE)</f>
        <v>AJUDANTE DE ARMADOR COM ENCARGOS COMPLEMENTARES</v>
      </c>
      <c r="D500" s="77"/>
      <c r="E500" s="77"/>
      <c r="F500" s="77"/>
      <c r="G500" s="16" t="str">
        <f>VLOOKUP(B500,IF(A500="COMPOSICAO",S!$A:$D,I!$A:$D),3,FALSE)</f>
        <v>H</v>
      </c>
      <c r="H500" s="29">
        <v>4.4000000000000003E-3</v>
      </c>
      <c r="I500" s="17">
        <f>IF(A500="COMPOSICAO",VLOOKUP("TOTAL - "&amp;B500,COMPOSICAO_AUX_3!$A:$J,10,FALSE),VLOOKUP(B500,I!$A:$D,4,FALSE))</f>
        <v>15.19</v>
      </c>
      <c r="J500" s="80">
        <f>TRUNC(H500*I500,2)</f>
        <v>0.06</v>
      </c>
      <c r="K500" s="81"/>
    </row>
    <row r="501" spans="1:13" ht="15" customHeight="1" x14ac:dyDescent="0.25">
      <c r="A501" s="16" t="s">
        <v>302</v>
      </c>
      <c r="B501" s="20">
        <v>88245</v>
      </c>
      <c r="C501" s="77" t="str">
        <f>VLOOKUP(B501,IF(A501="COMPOSICAO",S!$A:$D,I!$A:$D),2,FALSE)</f>
        <v>ARMADOR COM ENCARGOS COMPLEMENTARES</v>
      </c>
      <c r="D501" s="77"/>
      <c r="E501" s="77"/>
      <c r="F501" s="77"/>
      <c r="G501" s="16" t="str">
        <f>VLOOKUP(B501,IF(A501="COMPOSICAO",S!$A:$D,I!$A:$D),3,FALSE)</f>
        <v>H</v>
      </c>
      <c r="H501" s="30">
        <v>3.1E-2</v>
      </c>
      <c r="I501" s="17">
        <f>IF(A501="COMPOSICAO",VLOOKUP("TOTAL - "&amp;B501,COMPOSICAO_AUX_3!$A:$J,10,FALSE),VLOOKUP(B501,I!$A:$D,4,FALSE))</f>
        <v>19.749999999999996</v>
      </c>
      <c r="J501" s="80">
        <f>TRUNC(H501*I501,2)</f>
        <v>0.61</v>
      </c>
      <c r="K501" s="81"/>
    </row>
    <row r="502" spans="1:13" ht="15" customHeight="1" x14ac:dyDescent="0.25">
      <c r="A502" s="23" t="s">
        <v>776</v>
      </c>
      <c r="B502" s="24"/>
      <c r="C502" s="24"/>
      <c r="D502" s="24"/>
      <c r="E502" s="24"/>
      <c r="F502" s="24"/>
      <c r="G502" s="25"/>
      <c r="H502" s="26"/>
      <c r="I502" s="27"/>
      <c r="J502" s="80">
        <f>SUM(J498:K501)</f>
        <v>11.92</v>
      </c>
      <c r="K502" s="81"/>
    </row>
    <row r="503" spans="1:13" ht="15" customHeight="1" x14ac:dyDescent="0.25">
      <c r="A503" s="3"/>
      <c r="B503" s="3"/>
      <c r="C503" s="3"/>
      <c r="D503" s="3"/>
      <c r="E503" s="3"/>
      <c r="F503" s="3"/>
      <c r="G503" s="3"/>
      <c r="H503" s="3"/>
      <c r="I503" s="3"/>
      <c r="J503" s="3"/>
      <c r="K503" s="3"/>
    </row>
    <row r="504" spans="1:13" ht="15" customHeight="1" x14ac:dyDescent="0.25">
      <c r="A504" s="10" t="s">
        <v>295</v>
      </c>
      <c r="B504" s="10" t="s">
        <v>31</v>
      </c>
      <c r="C504" s="82" t="s">
        <v>7</v>
      </c>
      <c r="D504" s="83"/>
      <c r="E504" s="83"/>
      <c r="F504" s="83"/>
      <c r="G504" s="6" t="s">
        <v>32</v>
      </c>
      <c r="H504" s="6" t="s">
        <v>296</v>
      </c>
      <c r="I504" s="6" t="s">
        <v>297</v>
      </c>
      <c r="J504" s="57" t="s">
        <v>9</v>
      </c>
      <c r="K504" s="58"/>
    </row>
    <row r="505" spans="1:13" ht="30" customHeight="1" x14ac:dyDescent="0.25">
      <c r="A505" s="6" t="s">
        <v>363</v>
      </c>
      <c r="B505" s="28">
        <v>92802</v>
      </c>
      <c r="C505" s="91" t="str">
        <f>VLOOKUP(B505,S!$A:$D,2,FALSE)</f>
        <v>CORTE E DOBRA DE AÇO CA-50, DIÂMETRO DE 8,0 MM, UTILIZADO EM LAJE. AF_12/2015</v>
      </c>
      <c r="D505" s="91"/>
      <c r="E505" s="91"/>
      <c r="F505" s="92"/>
      <c r="G505" s="6" t="str">
        <f>VLOOKUP(B505,S!$A:$D,3,FALSE)</f>
        <v>KG</v>
      </c>
      <c r="H505" s="21"/>
      <c r="I505" s="21">
        <f>J509</f>
        <v>12.08</v>
      </c>
      <c r="J505" s="76"/>
      <c r="K505" s="72"/>
      <c r="L505" s="21">
        <f>VLOOKUP(B505,S!$A:$D,4,FALSE)</f>
        <v>12.08</v>
      </c>
      <c r="M505" s="6" t="str">
        <f>IF(ROUND((L505-I505),2)=0,"OK, confere com a tabela.",IF(ROUND((L505-I505),2)&lt;0,"ACIMA ("&amp;TEXT(ROUND(I505*100/L505,4),"0,0000")&amp;" %) da tabela.","ABAIXO ("&amp;TEXT(ROUND(I505*100/L505,4),"0,0000")&amp;" %) da tabela."))</f>
        <v>OK, confere com a tabela.</v>
      </c>
    </row>
    <row r="506" spans="1:13" ht="15" customHeight="1" x14ac:dyDescent="0.25">
      <c r="A506" s="16" t="s">
        <v>306</v>
      </c>
      <c r="B506" s="20">
        <v>33</v>
      </c>
      <c r="C506" s="77" t="str">
        <f>VLOOKUP(B506,IF(A506="COMPOSICAO",S!$A:$D,I!$A:$D),2,FALSE)</f>
        <v>ACO CA-50, 8,0 MM, VERGALHAO</v>
      </c>
      <c r="D506" s="77"/>
      <c r="E506" s="77"/>
      <c r="F506" s="77"/>
      <c r="G506" s="16" t="str">
        <f>VLOOKUP(B506,IF(A506="COMPOSICAO",S!$A:$D,I!$A:$D),3,FALSE)</f>
        <v>KG</v>
      </c>
      <c r="H506" s="17">
        <v>1.1100000000000001</v>
      </c>
      <c r="I506" s="17">
        <f>IF(A506="COMPOSICAO",VLOOKUP("TOTAL - "&amp;B506,COMPOSICAO_AUX_3!$A:$J,10,FALSE),VLOOKUP(B506,I!$A:$D,4,FALSE))</f>
        <v>10.58</v>
      </c>
      <c r="J506" s="80">
        <f>TRUNC(H506*I506,2)</f>
        <v>11.74</v>
      </c>
      <c r="K506" s="81"/>
    </row>
    <row r="507" spans="1:13" ht="30" customHeight="1" x14ac:dyDescent="0.25">
      <c r="A507" s="16" t="s">
        <v>302</v>
      </c>
      <c r="B507" s="20">
        <v>88238</v>
      </c>
      <c r="C507" s="77" t="str">
        <f>VLOOKUP(B507,IF(A507="COMPOSICAO",S!$A:$D,I!$A:$D),2,FALSE)</f>
        <v>AJUDANTE DE ARMADOR COM ENCARGOS COMPLEMENTARES</v>
      </c>
      <c r="D507" s="77"/>
      <c r="E507" s="77"/>
      <c r="F507" s="77"/>
      <c r="G507" s="16" t="str">
        <f>VLOOKUP(B507,IF(A507="COMPOSICAO",S!$A:$D,I!$A:$D),3,FALSE)</f>
        <v>H</v>
      </c>
      <c r="H507" s="29">
        <v>2.3E-3</v>
      </c>
      <c r="I507" s="17">
        <f>IF(A507="COMPOSICAO",VLOOKUP("TOTAL - "&amp;B507,COMPOSICAO_AUX_3!$A:$J,10,FALSE),VLOOKUP(B507,I!$A:$D,4,FALSE))</f>
        <v>15.19</v>
      </c>
      <c r="J507" s="80">
        <f>TRUNC(H507*I507,2)</f>
        <v>0.03</v>
      </c>
      <c r="K507" s="81"/>
    </row>
    <row r="508" spans="1:13" ht="15" customHeight="1" x14ac:dyDescent="0.25">
      <c r="A508" s="16" t="s">
        <v>302</v>
      </c>
      <c r="B508" s="20">
        <v>88245</v>
      </c>
      <c r="C508" s="77" t="str">
        <f>VLOOKUP(B508,IF(A508="COMPOSICAO",S!$A:$D,I!$A:$D),2,FALSE)</f>
        <v>ARMADOR COM ENCARGOS COMPLEMENTARES</v>
      </c>
      <c r="D508" s="77"/>
      <c r="E508" s="77"/>
      <c r="F508" s="77"/>
      <c r="G508" s="16" t="str">
        <f>VLOOKUP(B508,IF(A508="COMPOSICAO",S!$A:$D,I!$A:$D),3,FALSE)</f>
        <v>H</v>
      </c>
      <c r="H508" s="29">
        <v>1.6199999999999999E-2</v>
      </c>
      <c r="I508" s="17">
        <f>IF(A508="COMPOSICAO",VLOOKUP("TOTAL - "&amp;B508,COMPOSICAO_AUX_3!$A:$J,10,FALSE),VLOOKUP(B508,I!$A:$D,4,FALSE))</f>
        <v>19.749999999999996</v>
      </c>
      <c r="J508" s="80">
        <f>TRUNC(H508*I508,2)</f>
        <v>0.31</v>
      </c>
      <c r="K508" s="81"/>
    </row>
    <row r="509" spans="1:13" ht="15" customHeight="1" x14ac:dyDescent="0.25">
      <c r="A509" s="23" t="s">
        <v>777</v>
      </c>
      <c r="B509" s="24"/>
      <c r="C509" s="24"/>
      <c r="D509" s="24"/>
      <c r="E509" s="24"/>
      <c r="F509" s="24"/>
      <c r="G509" s="25"/>
      <c r="H509" s="26"/>
      <c r="I509" s="27"/>
      <c r="J509" s="80">
        <f>SUM(J505:K508)</f>
        <v>12.08</v>
      </c>
      <c r="K509" s="81"/>
    </row>
    <row r="510" spans="1:13" ht="15" customHeight="1" x14ac:dyDescent="0.25">
      <c r="A510" s="3"/>
      <c r="B510" s="3"/>
      <c r="C510" s="3"/>
      <c r="D510" s="3"/>
      <c r="E510" s="3"/>
      <c r="F510" s="3"/>
      <c r="G510" s="3"/>
      <c r="H510" s="3"/>
      <c r="I510" s="3"/>
      <c r="J510" s="3"/>
      <c r="K510" s="3"/>
    </row>
    <row r="511" spans="1:13" ht="15" customHeight="1" x14ac:dyDescent="0.25">
      <c r="A511" s="10" t="s">
        <v>295</v>
      </c>
      <c r="B511" s="10" t="s">
        <v>31</v>
      </c>
      <c r="C511" s="82" t="s">
        <v>7</v>
      </c>
      <c r="D511" s="83"/>
      <c r="E511" s="83"/>
      <c r="F511" s="83"/>
      <c r="G511" s="6" t="s">
        <v>32</v>
      </c>
      <c r="H511" s="6" t="s">
        <v>296</v>
      </c>
      <c r="I511" s="6" t="s">
        <v>297</v>
      </c>
      <c r="J511" s="57" t="s">
        <v>9</v>
      </c>
      <c r="K511" s="58"/>
    </row>
    <row r="512" spans="1:13" ht="15" customHeight="1" x14ac:dyDescent="0.25">
      <c r="A512" s="6" t="s">
        <v>502</v>
      </c>
      <c r="B512" s="28">
        <v>88309</v>
      </c>
      <c r="C512" s="91" t="str">
        <f>VLOOKUP(B512,S!$A:$D,2,FALSE)</f>
        <v>PEDREIRO COM ENCARGOS COMPLEMENTARES</v>
      </c>
      <c r="D512" s="91"/>
      <c r="E512" s="91"/>
      <c r="F512" s="92"/>
      <c r="G512" s="6" t="str">
        <f>VLOOKUP(B512,S!$A:$D,3,FALSE)</f>
        <v>H</v>
      </c>
      <c r="H512" s="21"/>
      <c r="I512" s="21">
        <f>J521</f>
        <v>19.849999999999994</v>
      </c>
      <c r="J512" s="76"/>
      <c r="K512" s="72"/>
      <c r="L512" s="21">
        <f>VLOOKUP(B512,S!$A:$D,4,FALSE)</f>
        <v>19.850000000000001</v>
      </c>
      <c r="M512" s="6" t="str">
        <f>IF(ROUND((L512-I512),2)=0,"OK, confere com a tabela.",IF(ROUND((L512-I512),2)&lt;0,"ACIMA ("&amp;TEXT(ROUND(I512*100/L512,4),"0,0000")&amp;" %) da tabela.","ABAIXO ("&amp;TEXT(ROUND(I512*100/L512,4),"0,0000")&amp;" %) da tabela."))</f>
        <v>OK, confere com a tabela.</v>
      </c>
    </row>
    <row r="513" spans="1:13" ht="15" customHeight="1" x14ac:dyDescent="0.25">
      <c r="A513" s="16" t="s">
        <v>306</v>
      </c>
      <c r="B513" s="20">
        <v>4750</v>
      </c>
      <c r="C513" s="77" t="str">
        <f>VLOOKUP(B513,IF(A513="COMPOSICAO",S!$A:$D,I!$A:$D),2,FALSE)</f>
        <v>PEDREIRO</v>
      </c>
      <c r="D513" s="77"/>
      <c r="E513" s="77"/>
      <c r="F513" s="77"/>
      <c r="G513" s="16" t="str">
        <f>VLOOKUP(B513,IF(A513="COMPOSICAO",S!$A:$D,I!$A:$D),3,FALSE)</f>
        <v>H</v>
      </c>
      <c r="H513" s="17">
        <v>1</v>
      </c>
      <c r="I513" s="17">
        <f>IF(A513="COMPOSICAO",VLOOKUP("TOTAL - "&amp;B513,COMPOSICAO_AUX_3!$A:$J,10,FALSE),VLOOKUP(B513,I!$A:$D,4,FALSE))</f>
        <v>14.93</v>
      </c>
      <c r="J513" s="80">
        <f t="shared" ref="J513:J520" si="19">TRUNC(H513*I513,2)</f>
        <v>14.93</v>
      </c>
      <c r="K513" s="81"/>
    </row>
    <row r="514" spans="1:13" ht="15" customHeight="1" x14ac:dyDescent="0.25">
      <c r="A514" s="16" t="s">
        <v>306</v>
      </c>
      <c r="B514" s="20">
        <v>37370</v>
      </c>
      <c r="C514" s="77" t="str">
        <f>VLOOKUP(B514,IF(A514="COMPOSICAO",S!$A:$D,I!$A:$D),2,FALSE)</f>
        <v>ALIMENTACAO - HORISTA (COLETADO CAIXA)</v>
      </c>
      <c r="D514" s="77"/>
      <c r="E514" s="77"/>
      <c r="F514" s="77"/>
      <c r="G514" s="16" t="str">
        <f>VLOOKUP(B514,IF(A514="COMPOSICAO",S!$A:$D,I!$A:$D),3,FALSE)</f>
        <v>H</v>
      </c>
      <c r="H514" s="17">
        <v>1</v>
      </c>
      <c r="I514" s="17">
        <f>IF(A514="COMPOSICAO",VLOOKUP("TOTAL - "&amp;B514,COMPOSICAO_AUX_3!$A:$J,10,FALSE),VLOOKUP(B514,I!$A:$D,4,FALSE))</f>
        <v>1.86</v>
      </c>
      <c r="J514" s="80">
        <f t="shared" si="19"/>
        <v>1.86</v>
      </c>
      <c r="K514" s="81"/>
    </row>
    <row r="515" spans="1:13" ht="15" customHeight="1" x14ac:dyDescent="0.25">
      <c r="A515" s="16" t="s">
        <v>306</v>
      </c>
      <c r="B515" s="20">
        <v>37371</v>
      </c>
      <c r="C515" s="77" t="str">
        <f>VLOOKUP(B515,IF(A515="COMPOSICAO",S!$A:$D,I!$A:$D),2,FALSE)</f>
        <v>TRANSPORTE - HORISTA (COLETADO CAIXA)</v>
      </c>
      <c r="D515" s="77"/>
      <c r="E515" s="77"/>
      <c r="F515" s="77"/>
      <c r="G515" s="16" t="str">
        <f>VLOOKUP(B515,IF(A515="COMPOSICAO",S!$A:$D,I!$A:$D),3,FALSE)</f>
        <v>H</v>
      </c>
      <c r="H515" s="17">
        <v>1</v>
      </c>
      <c r="I515" s="17">
        <f>IF(A515="COMPOSICAO",VLOOKUP("TOTAL - "&amp;B515,COMPOSICAO_AUX_3!$A:$J,10,FALSE),VLOOKUP(B515,I!$A:$D,4,FALSE))</f>
        <v>0.7</v>
      </c>
      <c r="J515" s="80">
        <f t="shared" si="19"/>
        <v>0.7</v>
      </c>
      <c r="K515" s="81"/>
    </row>
    <row r="516" spans="1:13" ht="15" customHeight="1" x14ac:dyDescent="0.25">
      <c r="A516" s="16" t="s">
        <v>306</v>
      </c>
      <c r="B516" s="20">
        <v>37372</v>
      </c>
      <c r="C516" s="77" t="str">
        <f>VLOOKUP(B516,IF(A516="COMPOSICAO",S!$A:$D,I!$A:$D),2,FALSE)</f>
        <v>EXAMES - HORISTA (COLETADO CAIXA)</v>
      </c>
      <c r="D516" s="77"/>
      <c r="E516" s="77"/>
      <c r="F516" s="77"/>
      <c r="G516" s="16" t="str">
        <f>VLOOKUP(B516,IF(A516="COMPOSICAO",S!$A:$D,I!$A:$D),3,FALSE)</f>
        <v>H</v>
      </c>
      <c r="H516" s="17">
        <v>1</v>
      </c>
      <c r="I516" s="17">
        <f>IF(A516="COMPOSICAO",VLOOKUP("TOTAL - "&amp;B516,COMPOSICAO_AUX_3!$A:$J,10,FALSE),VLOOKUP(B516,I!$A:$D,4,FALSE))</f>
        <v>0.55000000000000004</v>
      </c>
      <c r="J516" s="80">
        <f t="shared" si="19"/>
        <v>0.55000000000000004</v>
      </c>
      <c r="K516" s="81"/>
    </row>
    <row r="517" spans="1:13" ht="15" customHeight="1" x14ac:dyDescent="0.25">
      <c r="A517" s="16" t="s">
        <v>306</v>
      </c>
      <c r="B517" s="20">
        <v>37373</v>
      </c>
      <c r="C517" s="77" t="str">
        <f>VLOOKUP(B517,IF(A517="COMPOSICAO",S!$A:$D,I!$A:$D),2,FALSE)</f>
        <v>SEGURO - HORISTA (COLETADO CAIXA)</v>
      </c>
      <c r="D517" s="77"/>
      <c r="E517" s="77"/>
      <c r="F517" s="77"/>
      <c r="G517" s="16" t="str">
        <f>VLOOKUP(B517,IF(A517="COMPOSICAO",S!$A:$D,I!$A:$D),3,FALSE)</f>
        <v>H</v>
      </c>
      <c r="H517" s="17">
        <v>1</v>
      </c>
      <c r="I517" s="17">
        <f>IF(A517="COMPOSICAO",VLOOKUP("TOTAL - "&amp;B517,COMPOSICAO_AUX_3!$A:$J,10,FALSE),VLOOKUP(B517,I!$A:$D,4,FALSE))</f>
        <v>0.06</v>
      </c>
      <c r="J517" s="80">
        <f t="shared" si="19"/>
        <v>0.06</v>
      </c>
      <c r="K517" s="81"/>
    </row>
    <row r="518" spans="1:13" ht="30" customHeight="1" x14ac:dyDescent="0.25">
      <c r="A518" s="16" t="s">
        <v>306</v>
      </c>
      <c r="B518" s="20">
        <v>43465</v>
      </c>
      <c r="C518" s="77" t="str">
        <f>VLOOKUP(B518,IF(A518="COMPOSICAO",S!$A:$D,I!$A:$D),2,FALSE)</f>
        <v>FERRAMENTAS - FAMILIA PEDREIRO - HORISTA (ENCARGOS COMPLEMENTARES - COLETADO CAIXA)</v>
      </c>
      <c r="D518" s="77"/>
      <c r="E518" s="77"/>
      <c r="F518" s="77"/>
      <c r="G518" s="16" t="str">
        <f>VLOOKUP(B518,IF(A518="COMPOSICAO",S!$A:$D,I!$A:$D),3,FALSE)</f>
        <v>H</v>
      </c>
      <c r="H518" s="17">
        <v>1</v>
      </c>
      <c r="I518" s="17">
        <f>IF(A518="COMPOSICAO",VLOOKUP("TOTAL - "&amp;B518,COMPOSICAO_AUX_3!$A:$J,10,FALSE),VLOOKUP(B518,I!$A:$D,4,FALSE))</f>
        <v>0.57999999999999996</v>
      </c>
      <c r="J518" s="80">
        <f t="shared" si="19"/>
        <v>0.57999999999999996</v>
      </c>
      <c r="K518" s="81"/>
    </row>
    <row r="519" spans="1:13" ht="30" customHeight="1" x14ac:dyDescent="0.25">
      <c r="A519" s="16" t="s">
        <v>306</v>
      </c>
      <c r="B519" s="20">
        <v>43489</v>
      </c>
      <c r="C519" s="77" t="str">
        <f>VLOOKUP(B519,IF(A519="COMPOSICAO",S!$A:$D,I!$A:$D),2,FALSE)</f>
        <v>EPI - FAMILIA PEDREIRO - HORISTA (ENCARGOS COMPLEMENTARES - COLETADO CAIXA)</v>
      </c>
      <c r="D519" s="77"/>
      <c r="E519" s="77"/>
      <c r="F519" s="77"/>
      <c r="G519" s="16" t="str">
        <f>VLOOKUP(B519,IF(A519="COMPOSICAO",S!$A:$D,I!$A:$D),3,FALSE)</f>
        <v>H</v>
      </c>
      <c r="H519" s="17">
        <v>1</v>
      </c>
      <c r="I519" s="17">
        <f>IF(A519="COMPOSICAO",VLOOKUP("TOTAL - "&amp;B519,COMPOSICAO_AUX_3!$A:$J,10,FALSE),VLOOKUP(B519,I!$A:$D,4,FALSE))</f>
        <v>0.95</v>
      </c>
      <c r="J519" s="80">
        <f t="shared" si="19"/>
        <v>0.95</v>
      </c>
      <c r="K519" s="81"/>
    </row>
    <row r="520" spans="1:13" ht="30" customHeight="1" x14ac:dyDescent="0.25">
      <c r="A520" s="16" t="s">
        <v>302</v>
      </c>
      <c r="B520" s="20">
        <v>95371</v>
      </c>
      <c r="C520" s="77" t="str">
        <f>VLOOKUP(B520,IF(A520="COMPOSICAO",S!$A:$D,I!$A:$D),2,FALSE)</f>
        <v>CURSO DE CAPACITAÇÃO PARA PEDREIRO (ENCARGOS COMPLEMENTARES) - HORISTA</v>
      </c>
      <c r="D520" s="77"/>
      <c r="E520" s="77"/>
      <c r="F520" s="77"/>
      <c r="G520" s="16" t="str">
        <f>VLOOKUP(B520,IF(A520="COMPOSICAO",S!$A:$D,I!$A:$D),3,FALSE)</f>
        <v>H</v>
      </c>
      <c r="H520" s="17">
        <v>1</v>
      </c>
      <c r="I520" s="17">
        <f>IF(A520="COMPOSICAO",VLOOKUP("TOTAL - "&amp;B520,COMPOSICAO_AUX_3!$A:$J,10,FALSE),VLOOKUP(B520,I!$A:$D,4,FALSE))</f>
        <v>0.22</v>
      </c>
      <c r="J520" s="80">
        <f t="shared" si="19"/>
        <v>0.22</v>
      </c>
      <c r="K520" s="81"/>
    </row>
    <row r="521" spans="1:13" ht="15" customHeight="1" x14ac:dyDescent="0.25">
      <c r="A521" s="23" t="s">
        <v>570</v>
      </c>
      <c r="B521" s="24"/>
      <c r="C521" s="24"/>
      <c r="D521" s="24"/>
      <c r="E521" s="24"/>
      <c r="F521" s="24"/>
      <c r="G521" s="25"/>
      <c r="H521" s="26"/>
      <c r="I521" s="27"/>
      <c r="J521" s="80">
        <f>SUM(J512:K520)</f>
        <v>19.849999999999994</v>
      </c>
      <c r="K521" s="81"/>
    </row>
    <row r="522" spans="1:13" ht="15" customHeight="1" x14ac:dyDescent="0.25">
      <c r="A522" s="3"/>
      <c r="B522" s="3"/>
      <c r="C522" s="3"/>
      <c r="D522" s="3"/>
      <c r="E522" s="3"/>
      <c r="F522" s="3"/>
      <c r="G522" s="3"/>
      <c r="H522" s="3"/>
      <c r="I522" s="3"/>
      <c r="J522" s="3"/>
      <c r="K522" s="3"/>
    </row>
    <row r="523" spans="1:13" ht="15" customHeight="1" x14ac:dyDescent="0.25">
      <c r="A523" s="10" t="s">
        <v>295</v>
      </c>
      <c r="B523" s="10" t="s">
        <v>31</v>
      </c>
      <c r="C523" s="82" t="s">
        <v>7</v>
      </c>
      <c r="D523" s="83"/>
      <c r="E523" s="83"/>
      <c r="F523" s="83"/>
      <c r="G523" s="6" t="s">
        <v>32</v>
      </c>
      <c r="H523" s="6" t="s">
        <v>296</v>
      </c>
      <c r="I523" s="6" t="s">
        <v>297</v>
      </c>
      <c r="J523" s="57" t="s">
        <v>9</v>
      </c>
      <c r="K523" s="58"/>
    </row>
    <row r="524" spans="1:13" ht="45" customHeight="1" x14ac:dyDescent="0.25">
      <c r="A524" s="6" t="s">
        <v>572</v>
      </c>
      <c r="B524" s="28">
        <v>90586</v>
      </c>
      <c r="C524" s="91" t="str">
        <f>VLOOKUP(B524,S!$A:$D,2,FALSE)</f>
        <v>VIBRADOR DE IMERSÃO, DIÂMETRO DE PONTEIRA 45MM, MOTOR ELÉTRICO TRIFÁSICO POTÊNCIA DE 2 CV - CHP DIURNO. AF_06/2015</v>
      </c>
      <c r="D524" s="91"/>
      <c r="E524" s="91"/>
      <c r="F524" s="92"/>
      <c r="G524" s="6" t="str">
        <f>VLOOKUP(B524,S!$A:$D,3,FALSE)</f>
        <v>CHP</v>
      </c>
      <c r="H524" s="21"/>
      <c r="I524" s="21">
        <f>J529</f>
        <v>1.7</v>
      </c>
      <c r="J524" s="76"/>
      <c r="K524" s="72"/>
      <c r="L524" s="21">
        <f>VLOOKUP(B524,S!$A:$D,4,FALSE)</f>
        <v>1.7</v>
      </c>
      <c r="M524" s="6" t="str">
        <f>IF(ROUND((L524-I524),2)=0,"OK, confere com a tabela.",IF(ROUND((L524-I524),2)&lt;0,"ACIMA ("&amp;TEXT(ROUND(I524*100/L524,4),"0,0000")&amp;" %) da tabela.","ABAIXO ("&amp;TEXT(ROUND(I524*100/L524,4),"0,0000")&amp;" %) da tabela."))</f>
        <v>OK, confere com a tabela.</v>
      </c>
    </row>
    <row r="525" spans="1:13" ht="45" customHeight="1" x14ac:dyDescent="0.25">
      <c r="A525" s="16" t="s">
        <v>302</v>
      </c>
      <c r="B525" s="20">
        <v>90582</v>
      </c>
      <c r="C525" s="77" t="str">
        <f>VLOOKUP(B525,IF(A525="COMPOSICAO",S!$A:$D,I!$A:$D),2,FALSE)</f>
        <v>VIBRADOR DE IMERSÃO, DIÂMETRO DE PONTEIRA 45MM, MOTOR ELÉTRICO TRIFÁSICO POTÊNCIA DE 2 CV - DEPRECIAÇÃO. AF_06/2015</v>
      </c>
      <c r="D525" s="77"/>
      <c r="E525" s="77"/>
      <c r="F525" s="77"/>
      <c r="G525" s="16" t="str">
        <f>VLOOKUP(B525,IF(A525="COMPOSICAO",S!$A:$D,I!$A:$D),3,FALSE)</f>
        <v>H</v>
      </c>
      <c r="H525" s="17">
        <v>1</v>
      </c>
      <c r="I525" s="17">
        <f>IF(A525="COMPOSICAO",VLOOKUP("TOTAL - "&amp;B525,COMPOSICAO_AUX_3!$A:$J,10,FALSE),VLOOKUP(B525,I!$A:$D,4,FALSE))</f>
        <v>0.4</v>
      </c>
      <c r="J525" s="80">
        <f>TRUNC(H525*I525,2)</f>
        <v>0.4</v>
      </c>
      <c r="K525" s="81"/>
    </row>
    <row r="526" spans="1:13" ht="45" customHeight="1" x14ac:dyDescent="0.25">
      <c r="A526" s="16" t="s">
        <v>302</v>
      </c>
      <c r="B526" s="20">
        <v>90583</v>
      </c>
      <c r="C526" s="77" t="str">
        <f>VLOOKUP(B526,IF(A526="COMPOSICAO",S!$A:$D,I!$A:$D),2,FALSE)</f>
        <v>VIBRADOR DE IMERSÃO, DIÂMETRO DE PONTEIRA 45MM, MOTOR ELÉTRICO TRIFÁSICO POTÊNCIA DE 2 CV - JUROS. AF_06/2015</v>
      </c>
      <c r="D526" s="77"/>
      <c r="E526" s="77"/>
      <c r="F526" s="77"/>
      <c r="G526" s="16" t="str">
        <f>VLOOKUP(B526,IF(A526="COMPOSICAO",S!$A:$D,I!$A:$D),3,FALSE)</f>
        <v>H</v>
      </c>
      <c r="H526" s="17">
        <v>1</v>
      </c>
      <c r="I526" s="17">
        <f>IF(A526="COMPOSICAO",VLOOKUP("TOTAL - "&amp;B526,COMPOSICAO_AUX_3!$A:$J,10,FALSE),VLOOKUP(B526,I!$A:$D,4,FALSE))</f>
        <v>0.04</v>
      </c>
      <c r="J526" s="80">
        <f>TRUNC(H526*I526,2)</f>
        <v>0.04</v>
      </c>
      <c r="K526" s="81"/>
    </row>
    <row r="527" spans="1:13" ht="45" customHeight="1" x14ac:dyDescent="0.25">
      <c r="A527" s="16" t="s">
        <v>302</v>
      </c>
      <c r="B527" s="20">
        <v>90584</v>
      </c>
      <c r="C527" s="77" t="str">
        <f>VLOOKUP(B527,IF(A527="COMPOSICAO",S!$A:$D,I!$A:$D),2,FALSE)</f>
        <v>VIBRADOR DE IMERSÃO, DIÂMETRO DE PONTEIRA 45MM, MOTOR ELÉTRICO TRIFÁSICO POTÊNCIA DE 2 CV - MANUTENÇÃO. AF_06/2015</v>
      </c>
      <c r="D527" s="77"/>
      <c r="E527" s="77"/>
      <c r="F527" s="77"/>
      <c r="G527" s="16" t="str">
        <f>VLOOKUP(B527,IF(A527="COMPOSICAO",S!$A:$D,I!$A:$D),3,FALSE)</f>
        <v>H</v>
      </c>
      <c r="H527" s="17">
        <v>1</v>
      </c>
      <c r="I527" s="17">
        <f>IF(A527="COMPOSICAO",VLOOKUP("TOTAL - "&amp;B527,COMPOSICAO_AUX_3!$A:$J,10,FALSE),VLOOKUP(B527,I!$A:$D,4,FALSE))</f>
        <v>0.31</v>
      </c>
      <c r="J527" s="80">
        <f>TRUNC(H527*I527,2)</f>
        <v>0.31</v>
      </c>
      <c r="K527" s="81"/>
    </row>
    <row r="528" spans="1:13" ht="45" customHeight="1" x14ac:dyDescent="0.25">
      <c r="A528" s="16" t="s">
        <v>302</v>
      </c>
      <c r="B528" s="20">
        <v>90585</v>
      </c>
      <c r="C528" s="77" t="str">
        <f>VLOOKUP(B528,IF(A528="COMPOSICAO",S!$A:$D,I!$A:$D),2,FALSE)</f>
        <v>VIBRADOR DE IMERSÃO, DIÂMETRO DE PONTEIRA 45MM, MOTOR ELÉTRICO TRIFÁSICO POTÊNCIA DE 2 CV - MATERIAIS NA OPERAÇÃO. AF_06/2015</v>
      </c>
      <c r="D528" s="77"/>
      <c r="E528" s="77"/>
      <c r="F528" s="77"/>
      <c r="G528" s="16" t="str">
        <f>VLOOKUP(B528,IF(A528="COMPOSICAO",S!$A:$D,I!$A:$D),3,FALSE)</f>
        <v>H</v>
      </c>
      <c r="H528" s="17">
        <v>1</v>
      </c>
      <c r="I528" s="17">
        <f>IF(A528="COMPOSICAO",VLOOKUP("TOTAL - "&amp;B528,COMPOSICAO_AUX_3!$A:$J,10,FALSE),VLOOKUP(B528,I!$A:$D,4,FALSE))</f>
        <v>0.95</v>
      </c>
      <c r="J528" s="80">
        <f>TRUNC(H528*I528,2)</f>
        <v>0.95</v>
      </c>
      <c r="K528" s="81"/>
    </row>
    <row r="529" spans="1:13" ht="15" customHeight="1" x14ac:dyDescent="0.25">
      <c r="A529" s="23" t="s">
        <v>778</v>
      </c>
      <c r="B529" s="24"/>
      <c r="C529" s="24"/>
      <c r="D529" s="24"/>
      <c r="E529" s="24"/>
      <c r="F529" s="24"/>
      <c r="G529" s="25"/>
      <c r="H529" s="26"/>
      <c r="I529" s="27"/>
      <c r="J529" s="80">
        <f>SUM(J524:K528)</f>
        <v>1.7</v>
      </c>
      <c r="K529" s="81"/>
    </row>
    <row r="530" spans="1:13" ht="15" customHeight="1" x14ac:dyDescent="0.25">
      <c r="A530" s="3"/>
      <c r="B530" s="3"/>
      <c r="C530" s="3"/>
      <c r="D530" s="3"/>
      <c r="E530" s="3"/>
      <c r="F530" s="3"/>
      <c r="G530" s="3"/>
      <c r="H530" s="3"/>
      <c r="I530" s="3"/>
      <c r="J530" s="3"/>
      <c r="K530" s="3"/>
    </row>
    <row r="531" spans="1:13" ht="15" customHeight="1" x14ac:dyDescent="0.25">
      <c r="A531" s="10" t="s">
        <v>295</v>
      </c>
      <c r="B531" s="10" t="s">
        <v>31</v>
      </c>
      <c r="C531" s="82" t="s">
        <v>7</v>
      </c>
      <c r="D531" s="83"/>
      <c r="E531" s="83"/>
      <c r="F531" s="83"/>
      <c r="G531" s="6" t="s">
        <v>32</v>
      </c>
      <c r="H531" s="6" t="s">
        <v>296</v>
      </c>
      <c r="I531" s="6" t="s">
        <v>297</v>
      </c>
      <c r="J531" s="57" t="s">
        <v>9</v>
      </c>
      <c r="K531" s="58"/>
    </row>
    <row r="532" spans="1:13" ht="45" customHeight="1" x14ac:dyDescent="0.25">
      <c r="A532" s="6" t="s">
        <v>572</v>
      </c>
      <c r="B532" s="28">
        <v>90587</v>
      </c>
      <c r="C532" s="91" t="str">
        <f>VLOOKUP(B532,S!$A:$D,2,FALSE)</f>
        <v>VIBRADOR DE IMERSÃO, DIÂMETRO DE PONTEIRA 45MM, MOTOR ELÉTRICO TRIFÁSICO POTÊNCIA DE 2 CV - CHI DIURNO. AF_06/2015</v>
      </c>
      <c r="D532" s="91"/>
      <c r="E532" s="91"/>
      <c r="F532" s="92"/>
      <c r="G532" s="6" t="str">
        <f>VLOOKUP(B532,S!$A:$D,3,FALSE)</f>
        <v>CHI</v>
      </c>
      <c r="H532" s="21"/>
      <c r="I532" s="21">
        <f>J535</f>
        <v>0.44</v>
      </c>
      <c r="J532" s="76"/>
      <c r="K532" s="72"/>
      <c r="L532" s="21">
        <f>VLOOKUP(B532,S!$A:$D,4,FALSE)</f>
        <v>0.44</v>
      </c>
      <c r="M532" s="6" t="str">
        <f>IF(ROUND((L532-I532),2)=0,"OK, confere com a tabela.",IF(ROUND((L532-I532),2)&lt;0,"ACIMA ("&amp;TEXT(ROUND(I532*100/L532,4),"0,0000")&amp;" %) da tabela.","ABAIXO ("&amp;TEXT(ROUND(I532*100/L532,4),"0,0000")&amp;" %) da tabela."))</f>
        <v>OK, confere com a tabela.</v>
      </c>
    </row>
    <row r="533" spans="1:13" ht="45" customHeight="1" x14ac:dyDescent="0.25">
      <c r="A533" s="16" t="s">
        <v>302</v>
      </c>
      <c r="B533" s="20">
        <v>90582</v>
      </c>
      <c r="C533" s="77" t="str">
        <f>VLOOKUP(B533,IF(A533="COMPOSICAO",S!$A:$D,I!$A:$D),2,FALSE)</f>
        <v>VIBRADOR DE IMERSÃO, DIÂMETRO DE PONTEIRA 45MM, MOTOR ELÉTRICO TRIFÁSICO POTÊNCIA DE 2 CV - DEPRECIAÇÃO. AF_06/2015</v>
      </c>
      <c r="D533" s="77"/>
      <c r="E533" s="77"/>
      <c r="F533" s="77"/>
      <c r="G533" s="16" t="str">
        <f>VLOOKUP(B533,IF(A533="COMPOSICAO",S!$A:$D,I!$A:$D),3,FALSE)</f>
        <v>H</v>
      </c>
      <c r="H533" s="17">
        <v>1</v>
      </c>
      <c r="I533" s="17">
        <f>IF(A533="COMPOSICAO",VLOOKUP("TOTAL - "&amp;B533,COMPOSICAO_AUX_3!$A:$J,10,FALSE),VLOOKUP(B533,I!$A:$D,4,FALSE))</f>
        <v>0.4</v>
      </c>
      <c r="J533" s="80">
        <f>TRUNC(H533*I533,2)</f>
        <v>0.4</v>
      </c>
      <c r="K533" s="81"/>
    </row>
    <row r="534" spans="1:13" ht="45" customHeight="1" x14ac:dyDescent="0.25">
      <c r="A534" s="16" t="s">
        <v>302</v>
      </c>
      <c r="B534" s="20">
        <v>90583</v>
      </c>
      <c r="C534" s="77" t="str">
        <f>VLOOKUP(B534,IF(A534="COMPOSICAO",S!$A:$D,I!$A:$D),2,FALSE)</f>
        <v>VIBRADOR DE IMERSÃO, DIÂMETRO DE PONTEIRA 45MM, MOTOR ELÉTRICO TRIFÁSICO POTÊNCIA DE 2 CV - JUROS. AF_06/2015</v>
      </c>
      <c r="D534" s="77"/>
      <c r="E534" s="77"/>
      <c r="F534" s="77"/>
      <c r="G534" s="16" t="str">
        <f>VLOOKUP(B534,IF(A534="COMPOSICAO",S!$A:$D,I!$A:$D),3,FALSE)</f>
        <v>H</v>
      </c>
      <c r="H534" s="17">
        <v>1</v>
      </c>
      <c r="I534" s="17">
        <f>IF(A534="COMPOSICAO",VLOOKUP("TOTAL - "&amp;B534,COMPOSICAO_AUX_3!$A:$J,10,FALSE),VLOOKUP(B534,I!$A:$D,4,FALSE))</f>
        <v>0.04</v>
      </c>
      <c r="J534" s="80">
        <f>TRUNC(H534*I534,2)</f>
        <v>0.04</v>
      </c>
      <c r="K534" s="81"/>
    </row>
    <row r="535" spans="1:13" ht="15" customHeight="1" x14ac:dyDescent="0.25">
      <c r="A535" s="23" t="s">
        <v>779</v>
      </c>
      <c r="B535" s="24"/>
      <c r="C535" s="24"/>
      <c r="D535" s="24"/>
      <c r="E535" s="24"/>
      <c r="F535" s="24"/>
      <c r="G535" s="25"/>
      <c r="H535" s="26"/>
      <c r="I535" s="27"/>
      <c r="J535" s="80">
        <f>SUM(J532:K534)</f>
        <v>0.44</v>
      </c>
      <c r="K535" s="81"/>
    </row>
    <row r="536" spans="1:13" ht="15" customHeight="1" x14ac:dyDescent="0.25">
      <c r="A536" s="3"/>
      <c r="B536" s="3"/>
      <c r="C536" s="3"/>
      <c r="D536" s="3"/>
      <c r="E536" s="3"/>
      <c r="F536" s="3"/>
      <c r="G536" s="3"/>
      <c r="H536" s="3"/>
      <c r="I536" s="3"/>
      <c r="J536" s="3"/>
      <c r="K536" s="3"/>
    </row>
    <row r="537" spans="1:13" ht="15" customHeight="1" x14ac:dyDescent="0.25">
      <c r="A537" s="10" t="s">
        <v>295</v>
      </c>
      <c r="B537" s="10" t="s">
        <v>31</v>
      </c>
      <c r="C537" s="82" t="s">
        <v>7</v>
      </c>
      <c r="D537" s="83"/>
      <c r="E537" s="83"/>
      <c r="F537" s="83"/>
      <c r="G537" s="6" t="s">
        <v>32</v>
      </c>
      <c r="H537" s="6" t="s">
        <v>296</v>
      </c>
      <c r="I537" s="6" t="s">
        <v>297</v>
      </c>
      <c r="J537" s="57" t="s">
        <v>9</v>
      </c>
      <c r="K537" s="58"/>
    </row>
    <row r="538" spans="1:13" ht="45" customHeight="1" x14ac:dyDescent="0.25">
      <c r="A538" s="6" t="s">
        <v>572</v>
      </c>
      <c r="B538" s="28">
        <v>91692</v>
      </c>
      <c r="C538" s="91" t="str">
        <f>VLOOKUP(B538,S!$A:$D,2,FALSE)</f>
        <v>SERRA CIRCULAR DE BANCADA COM MOTOR ELÉTRICO POTÊNCIA DE 5HP, COM COIFA PARA DISCO 10" - CHP DIURNO. AF_08/2015</v>
      </c>
      <c r="D538" s="91"/>
      <c r="E538" s="91"/>
      <c r="F538" s="92"/>
      <c r="G538" s="6" t="str">
        <f>VLOOKUP(B538,S!$A:$D,3,FALSE)</f>
        <v>CHP</v>
      </c>
      <c r="H538" s="21"/>
      <c r="I538" s="21">
        <f>J544</f>
        <v>27.599999999999998</v>
      </c>
      <c r="J538" s="76"/>
      <c r="K538" s="72"/>
      <c r="L538" s="21">
        <f>VLOOKUP(B538,S!$A:$D,4,FALSE)</f>
        <v>27.6</v>
      </c>
      <c r="M538" s="6" t="str">
        <f>IF(ROUND((L538-I538),2)=0,"OK, confere com a tabela.",IF(ROUND((L538-I538),2)&lt;0,"ACIMA ("&amp;TEXT(ROUND(I538*100/L538,4),"0,0000")&amp;" %) da tabela.","ABAIXO ("&amp;TEXT(ROUND(I538*100/L538,4),"0,0000")&amp;" %) da tabela."))</f>
        <v>OK, confere com a tabela.</v>
      </c>
    </row>
    <row r="539" spans="1:13" ht="30" customHeight="1" x14ac:dyDescent="0.25">
      <c r="A539" s="16" t="s">
        <v>302</v>
      </c>
      <c r="B539" s="20">
        <v>88297</v>
      </c>
      <c r="C539" s="77" t="str">
        <f>VLOOKUP(B539,IF(A539="COMPOSICAO",S!$A:$D,I!$A:$D),2,FALSE)</f>
        <v>OPERADOR DE MÁQUINAS E EQUIPAMENTOS COM ENCARGOS COMPLEMENTARES</v>
      </c>
      <c r="D539" s="77"/>
      <c r="E539" s="77"/>
      <c r="F539" s="77"/>
      <c r="G539" s="16" t="str">
        <f>VLOOKUP(B539,IF(A539="COMPOSICAO",S!$A:$D,I!$A:$D),3,FALSE)</f>
        <v>H</v>
      </c>
      <c r="H539" s="17">
        <v>1</v>
      </c>
      <c r="I539" s="17">
        <f>IF(A539="COMPOSICAO",VLOOKUP("TOTAL - "&amp;B539,COMPOSICAO_AUX_3!$A:$J,10,FALSE),VLOOKUP(B539,I!$A:$D,4,FALSE))</f>
        <v>25.04</v>
      </c>
      <c r="J539" s="80">
        <f>TRUNC(H539*I539,2)</f>
        <v>25.04</v>
      </c>
      <c r="K539" s="81"/>
    </row>
    <row r="540" spans="1:13" ht="45" customHeight="1" x14ac:dyDescent="0.25">
      <c r="A540" s="16" t="s">
        <v>302</v>
      </c>
      <c r="B540" s="20">
        <v>91688</v>
      </c>
      <c r="C540" s="77" t="str">
        <f>VLOOKUP(B540,IF(A540="COMPOSICAO",S!$A:$D,I!$A:$D),2,FALSE)</f>
        <v>SERRA CIRCULAR DE BANCADA COM MOTOR ELÉTRICO POTÊNCIA DE 5HP, COM COIFA PARA DISCO 10" - DEPRECIAÇÃO. AF_08/2015</v>
      </c>
      <c r="D540" s="77"/>
      <c r="E540" s="77"/>
      <c r="F540" s="77"/>
      <c r="G540" s="16" t="str">
        <f>VLOOKUP(B540,IF(A540="COMPOSICAO",S!$A:$D,I!$A:$D),3,FALSE)</f>
        <v>H</v>
      </c>
      <c r="H540" s="17">
        <v>1</v>
      </c>
      <c r="I540" s="17">
        <f>IF(A540="COMPOSICAO",VLOOKUP("TOTAL - "&amp;B540,COMPOSICAO_AUX_3!$A:$J,10,FALSE),VLOOKUP(B540,I!$A:$D,4,FALSE))</f>
        <v>0.09</v>
      </c>
      <c r="J540" s="80">
        <f>TRUNC(H540*I540,2)</f>
        <v>0.09</v>
      </c>
      <c r="K540" s="81"/>
    </row>
    <row r="541" spans="1:13" ht="45" customHeight="1" x14ac:dyDescent="0.25">
      <c r="A541" s="16" t="s">
        <v>302</v>
      </c>
      <c r="B541" s="20">
        <v>91689</v>
      </c>
      <c r="C541" s="77" t="str">
        <f>VLOOKUP(B541,IF(A541="COMPOSICAO",S!$A:$D,I!$A:$D),2,FALSE)</f>
        <v>SERRA CIRCULAR DE BANCADA COM MOTOR ELÉTRICO POTÊNCIA DE 5HP, COM COIFA PARA DISCO 10" - JUROS. AF_08/2015</v>
      </c>
      <c r="D541" s="77"/>
      <c r="E541" s="77"/>
      <c r="F541" s="77"/>
      <c r="G541" s="16" t="str">
        <f>VLOOKUP(B541,IF(A541="COMPOSICAO",S!$A:$D,I!$A:$D),3,FALSE)</f>
        <v>H</v>
      </c>
      <c r="H541" s="17">
        <v>1</v>
      </c>
      <c r="I541" s="17">
        <f>IF(A541="COMPOSICAO",VLOOKUP("TOTAL - "&amp;B541,COMPOSICAO_AUX_3!$A:$J,10,FALSE),VLOOKUP(B541,I!$A:$D,4,FALSE))</f>
        <v>0.01</v>
      </c>
      <c r="J541" s="80">
        <f>TRUNC(H541*I541,2)</f>
        <v>0.01</v>
      </c>
      <c r="K541" s="81"/>
    </row>
    <row r="542" spans="1:13" ht="45" customHeight="1" x14ac:dyDescent="0.25">
      <c r="A542" s="16" t="s">
        <v>302</v>
      </c>
      <c r="B542" s="20">
        <v>91690</v>
      </c>
      <c r="C542" s="77" t="str">
        <f>VLOOKUP(B542,IF(A542="COMPOSICAO",S!$A:$D,I!$A:$D),2,FALSE)</f>
        <v>SERRA CIRCULAR DE BANCADA COM MOTOR ELÉTRICO POTÊNCIA DE 5HP, COM COIFA PARA DISCO 10" - MANUTENÇÃO. AF_08/2015</v>
      </c>
      <c r="D542" s="77"/>
      <c r="E542" s="77"/>
      <c r="F542" s="77"/>
      <c r="G542" s="16" t="str">
        <f>VLOOKUP(B542,IF(A542="COMPOSICAO",S!$A:$D,I!$A:$D),3,FALSE)</f>
        <v>H</v>
      </c>
      <c r="H542" s="17">
        <v>1</v>
      </c>
      <c r="I542" s="17">
        <f>IF(A542="COMPOSICAO",VLOOKUP("TOTAL - "&amp;B542,COMPOSICAO_AUX_3!$A:$J,10,FALSE),VLOOKUP(B542,I!$A:$D,4,FALSE))</f>
        <v>0.06</v>
      </c>
      <c r="J542" s="80">
        <f>TRUNC(H542*I542,2)</f>
        <v>0.06</v>
      </c>
      <c r="K542" s="81"/>
    </row>
    <row r="543" spans="1:13" ht="45" customHeight="1" x14ac:dyDescent="0.25">
      <c r="A543" s="16" t="s">
        <v>302</v>
      </c>
      <c r="B543" s="20">
        <v>91691</v>
      </c>
      <c r="C543" s="77" t="str">
        <f>VLOOKUP(B543,IF(A543="COMPOSICAO",S!$A:$D,I!$A:$D),2,FALSE)</f>
        <v>SERRA CIRCULAR DE BANCADA COM MOTOR ELÉTRICO POTÊNCIA DE 5HP, COM COIFA PARA DISCO 10" - MATERIAIS NA OPERAÇÃO. AF_08/2015</v>
      </c>
      <c r="D543" s="77"/>
      <c r="E543" s="77"/>
      <c r="F543" s="77"/>
      <c r="G543" s="16" t="str">
        <f>VLOOKUP(B543,IF(A543="COMPOSICAO",S!$A:$D,I!$A:$D),3,FALSE)</f>
        <v>H</v>
      </c>
      <c r="H543" s="17">
        <v>1</v>
      </c>
      <c r="I543" s="17">
        <f>IF(A543="COMPOSICAO",VLOOKUP("TOTAL - "&amp;B543,COMPOSICAO_AUX_3!$A:$J,10,FALSE),VLOOKUP(B543,I!$A:$D,4,FALSE))</f>
        <v>2.4</v>
      </c>
      <c r="J543" s="80">
        <f>TRUNC(H543*I543,2)</f>
        <v>2.4</v>
      </c>
      <c r="K543" s="81"/>
    </row>
    <row r="544" spans="1:13" ht="15" customHeight="1" x14ac:dyDescent="0.25">
      <c r="A544" s="23" t="s">
        <v>780</v>
      </c>
      <c r="B544" s="24"/>
      <c r="C544" s="24"/>
      <c r="D544" s="24"/>
      <c r="E544" s="24"/>
      <c r="F544" s="24"/>
      <c r="G544" s="25"/>
      <c r="H544" s="26"/>
      <c r="I544" s="27"/>
      <c r="J544" s="80">
        <f>SUM(J538:K543)</f>
        <v>27.599999999999998</v>
      </c>
      <c r="K544" s="81"/>
    </row>
    <row r="545" spans="1:13" ht="15" customHeight="1" x14ac:dyDescent="0.25">
      <c r="A545" s="3"/>
      <c r="B545" s="3"/>
      <c r="C545" s="3"/>
      <c r="D545" s="3"/>
      <c r="E545" s="3"/>
      <c r="F545" s="3"/>
      <c r="G545" s="3"/>
      <c r="H545" s="3"/>
      <c r="I545" s="3"/>
      <c r="J545" s="3"/>
      <c r="K545" s="3"/>
    </row>
    <row r="546" spans="1:13" ht="15" customHeight="1" x14ac:dyDescent="0.25">
      <c r="A546" s="10" t="s">
        <v>295</v>
      </c>
      <c r="B546" s="10" t="s">
        <v>31</v>
      </c>
      <c r="C546" s="82" t="s">
        <v>7</v>
      </c>
      <c r="D546" s="83"/>
      <c r="E546" s="83"/>
      <c r="F546" s="83"/>
      <c r="G546" s="6" t="s">
        <v>32</v>
      </c>
      <c r="H546" s="6" t="s">
        <v>296</v>
      </c>
      <c r="I546" s="6" t="s">
        <v>297</v>
      </c>
      <c r="J546" s="57" t="s">
        <v>9</v>
      </c>
      <c r="K546" s="58"/>
    </row>
    <row r="547" spans="1:13" ht="45" customHeight="1" x14ac:dyDescent="0.25">
      <c r="A547" s="6" t="s">
        <v>572</v>
      </c>
      <c r="B547" s="28">
        <v>91693</v>
      </c>
      <c r="C547" s="91" t="str">
        <f>VLOOKUP(B547,S!$A:$D,2,FALSE)</f>
        <v>SERRA CIRCULAR DE BANCADA COM MOTOR ELÉTRICO POTÊNCIA DE 5HP, COM COIFA PARA DISCO 10" - CHI DIURNO. AF_08/2015</v>
      </c>
      <c r="D547" s="91"/>
      <c r="E547" s="91"/>
      <c r="F547" s="92"/>
      <c r="G547" s="6" t="str">
        <f>VLOOKUP(B547,S!$A:$D,3,FALSE)</f>
        <v>CHI</v>
      </c>
      <c r="H547" s="21"/>
      <c r="I547" s="21">
        <f>J551</f>
        <v>25.14</v>
      </c>
      <c r="J547" s="76"/>
      <c r="K547" s="72"/>
      <c r="L547" s="21">
        <f>VLOOKUP(B547,S!$A:$D,4,FALSE)</f>
        <v>25.14</v>
      </c>
      <c r="M547" s="6" t="str">
        <f>IF(ROUND((L547-I547),2)=0,"OK, confere com a tabela.",IF(ROUND((L547-I547),2)&lt;0,"ACIMA ("&amp;TEXT(ROUND(I547*100/L547,4),"0,0000")&amp;" %) da tabela.","ABAIXO ("&amp;TEXT(ROUND(I547*100/L547,4),"0,0000")&amp;" %) da tabela."))</f>
        <v>OK, confere com a tabela.</v>
      </c>
    </row>
    <row r="548" spans="1:13" ht="30" customHeight="1" x14ac:dyDescent="0.25">
      <c r="A548" s="16" t="s">
        <v>302</v>
      </c>
      <c r="B548" s="20">
        <v>88297</v>
      </c>
      <c r="C548" s="77" t="str">
        <f>VLOOKUP(B548,IF(A548="COMPOSICAO",S!$A:$D,I!$A:$D),2,FALSE)</f>
        <v>OPERADOR DE MÁQUINAS E EQUIPAMENTOS COM ENCARGOS COMPLEMENTARES</v>
      </c>
      <c r="D548" s="77"/>
      <c r="E548" s="77"/>
      <c r="F548" s="77"/>
      <c r="G548" s="16" t="str">
        <f>VLOOKUP(B548,IF(A548="COMPOSICAO",S!$A:$D,I!$A:$D),3,FALSE)</f>
        <v>H</v>
      </c>
      <c r="H548" s="17">
        <v>1</v>
      </c>
      <c r="I548" s="17">
        <f>IF(A548="COMPOSICAO",VLOOKUP("TOTAL - "&amp;B548,COMPOSICAO_AUX_3!$A:$J,10,FALSE),VLOOKUP(B548,I!$A:$D,4,FALSE))</f>
        <v>25.04</v>
      </c>
      <c r="J548" s="80">
        <f>TRUNC(H548*I548,2)</f>
        <v>25.04</v>
      </c>
      <c r="K548" s="81"/>
    </row>
    <row r="549" spans="1:13" ht="45" customHeight="1" x14ac:dyDescent="0.25">
      <c r="A549" s="16" t="s">
        <v>302</v>
      </c>
      <c r="B549" s="20">
        <v>91688</v>
      </c>
      <c r="C549" s="77" t="str">
        <f>VLOOKUP(B549,IF(A549="COMPOSICAO",S!$A:$D,I!$A:$D),2,FALSE)</f>
        <v>SERRA CIRCULAR DE BANCADA COM MOTOR ELÉTRICO POTÊNCIA DE 5HP, COM COIFA PARA DISCO 10" - DEPRECIAÇÃO. AF_08/2015</v>
      </c>
      <c r="D549" s="77"/>
      <c r="E549" s="77"/>
      <c r="F549" s="77"/>
      <c r="G549" s="16" t="str">
        <f>VLOOKUP(B549,IF(A549="COMPOSICAO",S!$A:$D,I!$A:$D),3,FALSE)</f>
        <v>H</v>
      </c>
      <c r="H549" s="17">
        <v>1</v>
      </c>
      <c r="I549" s="17">
        <f>IF(A549="COMPOSICAO",VLOOKUP("TOTAL - "&amp;B549,COMPOSICAO_AUX_3!$A:$J,10,FALSE),VLOOKUP(B549,I!$A:$D,4,FALSE))</f>
        <v>0.09</v>
      </c>
      <c r="J549" s="80">
        <f>TRUNC(H549*I549,2)</f>
        <v>0.09</v>
      </c>
      <c r="K549" s="81"/>
    </row>
    <row r="550" spans="1:13" ht="45" customHeight="1" x14ac:dyDescent="0.25">
      <c r="A550" s="16" t="s">
        <v>302</v>
      </c>
      <c r="B550" s="20">
        <v>91689</v>
      </c>
      <c r="C550" s="77" t="str">
        <f>VLOOKUP(B550,IF(A550="COMPOSICAO",S!$A:$D,I!$A:$D),2,FALSE)</f>
        <v>SERRA CIRCULAR DE BANCADA COM MOTOR ELÉTRICO POTÊNCIA DE 5HP, COM COIFA PARA DISCO 10" - JUROS. AF_08/2015</v>
      </c>
      <c r="D550" s="77"/>
      <c r="E550" s="77"/>
      <c r="F550" s="77"/>
      <c r="G550" s="16" t="str">
        <f>VLOOKUP(B550,IF(A550="COMPOSICAO",S!$A:$D,I!$A:$D),3,FALSE)</f>
        <v>H</v>
      </c>
      <c r="H550" s="17">
        <v>1</v>
      </c>
      <c r="I550" s="17">
        <f>IF(A550="COMPOSICAO",VLOOKUP("TOTAL - "&amp;B550,COMPOSICAO_AUX_3!$A:$J,10,FALSE),VLOOKUP(B550,I!$A:$D,4,FALSE))</f>
        <v>0.01</v>
      </c>
      <c r="J550" s="80">
        <f>TRUNC(H550*I550,2)</f>
        <v>0.01</v>
      </c>
      <c r="K550" s="81"/>
    </row>
    <row r="551" spans="1:13" ht="15" customHeight="1" x14ac:dyDescent="0.25">
      <c r="A551" s="23" t="s">
        <v>781</v>
      </c>
      <c r="B551" s="24"/>
      <c r="C551" s="24"/>
      <c r="D551" s="24"/>
      <c r="E551" s="24"/>
      <c r="F551" s="24"/>
      <c r="G551" s="25"/>
      <c r="H551" s="26"/>
      <c r="I551" s="27"/>
      <c r="J551" s="80">
        <f>SUM(J547:K550)</f>
        <v>25.14</v>
      </c>
      <c r="K551" s="81"/>
    </row>
    <row r="552" spans="1:13" ht="15" customHeight="1" x14ac:dyDescent="0.25">
      <c r="A552" s="3"/>
      <c r="B552" s="3"/>
      <c r="C552" s="3"/>
      <c r="D552" s="3"/>
      <c r="E552" s="3"/>
      <c r="F552" s="3"/>
      <c r="G552" s="3"/>
      <c r="H552" s="3"/>
      <c r="I552" s="3"/>
      <c r="J552" s="3"/>
      <c r="K552" s="3"/>
    </row>
    <row r="553" spans="1:13" ht="15" customHeight="1" x14ac:dyDescent="0.25">
      <c r="A553" s="10" t="s">
        <v>295</v>
      </c>
      <c r="B553" s="10" t="s">
        <v>31</v>
      </c>
      <c r="C553" s="82" t="s">
        <v>7</v>
      </c>
      <c r="D553" s="83"/>
      <c r="E553" s="83"/>
      <c r="F553" s="83"/>
      <c r="G553" s="6" t="s">
        <v>32</v>
      </c>
      <c r="H553" s="6" t="s">
        <v>296</v>
      </c>
      <c r="I553" s="6" t="s">
        <v>297</v>
      </c>
      <c r="J553" s="57" t="s">
        <v>9</v>
      </c>
      <c r="K553" s="58"/>
    </row>
    <row r="554" spans="1:13" ht="45" customHeight="1" x14ac:dyDescent="0.25">
      <c r="A554" s="6" t="s">
        <v>363</v>
      </c>
      <c r="B554" s="28">
        <v>101969</v>
      </c>
      <c r="C554" s="91" t="str">
        <f>VLOOKUP(B554,S!$A:$D,2,FALSE)</f>
        <v>FABRICAÇÃO DE FÔRMA PARA ESCADAS, COM 2 LANCES EM "U" E LAJE PLANA, EM CHAPA DE MADEIRA COMPENSADA PLASTIFICADA, E=18 MM. AF_11/2020</v>
      </c>
      <c r="D554" s="91"/>
      <c r="E554" s="91"/>
      <c r="F554" s="92"/>
      <c r="G554" s="6" t="str">
        <f>VLOOKUP(B554,S!$A:$D,3,FALSE)</f>
        <v>M2</v>
      </c>
      <c r="H554" s="21"/>
      <c r="I554" s="21">
        <f>J564</f>
        <v>150.04999999999998</v>
      </c>
      <c r="J554" s="76"/>
      <c r="K554" s="72"/>
      <c r="L554" s="21">
        <f>VLOOKUP(B554,S!$A:$D,4,FALSE)</f>
        <v>150.05000000000001</v>
      </c>
      <c r="M554" s="6" t="str">
        <f>IF(ROUND((L554-I554),2)=0,"OK, confere com a tabela.",IF(ROUND((L554-I554),2)&lt;0,"ACIMA ("&amp;TEXT(ROUND(I554*100/L554,4),"0,0000")&amp;" %) da tabela.","ABAIXO ("&amp;TEXT(ROUND(I554*100/L554,4),"0,0000")&amp;" %) da tabela."))</f>
        <v>OK, confere com a tabela.</v>
      </c>
    </row>
    <row r="555" spans="1:13" ht="45" customHeight="1" x14ac:dyDescent="0.25">
      <c r="A555" s="16" t="s">
        <v>306</v>
      </c>
      <c r="B555" s="20">
        <v>1345</v>
      </c>
      <c r="C555" s="77" t="str">
        <f>VLOOKUP(B555,IF(A555="COMPOSICAO",S!$A:$D,I!$A:$D),2,FALSE)</f>
        <v>CHAPA DE MADEIRA COMPENSADA PLASTIFICADA PARA FORMA DE CONCRETO, DE 2,20 x 1,10 M, E = 18 MM</v>
      </c>
      <c r="D555" s="77"/>
      <c r="E555" s="77"/>
      <c r="F555" s="77"/>
      <c r="G555" s="16" t="str">
        <f>VLOOKUP(B555,IF(A555="COMPOSICAO",S!$A:$D,I!$A:$D),3,FALSE)</f>
        <v>M2</v>
      </c>
      <c r="H555" s="30">
        <v>1.198</v>
      </c>
      <c r="I555" s="17">
        <f>IF(A555="COMPOSICAO",VLOOKUP("TOTAL - "&amp;B555,COMPOSICAO_AUX_3!$A:$J,10,FALSE),VLOOKUP(B555,I!$A:$D,4,FALSE))</f>
        <v>66.12</v>
      </c>
      <c r="J555" s="80">
        <f t="shared" ref="J555:J563" si="20">TRUNC(H555*I555,2)</f>
        <v>79.209999999999994</v>
      </c>
      <c r="K555" s="81"/>
    </row>
    <row r="556" spans="1:13" ht="30" customHeight="1" x14ac:dyDescent="0.25">
      <c r="A556" s="16" t="s">
        <v>306</v>
      </c>
      <c r="B556" s="20">
        <v>4491</v>
      </c>
      <c r="C556" s="77" t="str">
        <f>VLOOKUP(B556,IF(A556="COMPOSICAO",S!$A:$D,I!$A:$D),2,FALSE)</f>
        <v>PONTALETE *7,5 X 7,5* CM EM PINUS, MISTA OU EQUIVALENTE DA REGIAO - BRUTA</v>
      </c>
      <c r="D556" s="77"/>
      <c r="E556" s="77"/>
      <c r="F556" s="77"/>
      <c r="G556" s="16" t="str">
        <f>VLOOKUP(B556,IF(A556="COMPOSICAO",S!$A:$D,I!$A:$D),3,FALSE)</f>
        <v>M</v>
      </c>
      <c r="H556" s="30">
        <v>6.7039999999999997</v>
      </c>
      <c r="I556" s="17">
        <f>IF(A556="COMPOSICAO",VLOOKUP("TOTAL - "&amp;B556,COMPOSICAO_AUX_3!$A:$J,10,FALSE),VLOOKUP(B556,I!$A:$D,4,FALSE))</f>
        <v>6.67</v>
      </c>
      <c r="J556" s="80">
        <f t="shared" si="20"/>
        <v>44.71</v>
      </c>
      <c r="K556" s="81"/>
    </row>
    <row r="557" spans="1:13" ht="30" customHeight="1" x14ac:dyDescent="0.25">
      <c r="A557" s="16" t="s">
        <v>306</v>
      </c>
      <c r="B557" s="20">
        <v>4517</v>
      </c>
      <c r="C557" s="77" t="str">
        <f>VLOOKUP(B557,IF(A557="COMPOSICAO",S!$A:$D,I!$A:$D),2,FALSE)</f>
        <v>SARRAFO *2,5 X 7,5* CM EM PINUS, MISTA OU EQUIVALENTE DA REGIAO - BRUTA</v>
      </c>
      <c r="D557" s="77"/>
      <c r="E557" s="77"/>
      <c r="F557" s="77"/>
      <c r="G557" s="16" t="str">
        <f>VLOOKUP(B557,IF(A557="COMPOSICAO",S!$A:$D,I!$A:$D),3,FALSE)</f>
        <v>M</v>
      </c>
      <c r="H557" s="30">
        <v>0.92500000000000004</v>
      </c>
      <c r="I557" s="17">
        <f>IF(A557="COMPOSICAO",VLOOKUP("TOTAL - "&amp;B557,COMPOSICAO_AUX_3!$A:$J,10,FALSE),VLOOKUP(B557,I!$A:$D,4,FALSE))</f>
        <v>2.33</v>
      </c>
      <c r="J557" s="80">
        <f t="shared" si="20"/>
        <v>2.15</v>
      </c>
      <c r="K557" s="81"/>
    </row>
    <row r="558" spans="1:13" ht="30" customHeight="1" x14ac:dyDescent="0.25">
      <c r="A558" s="16" t="s">
        <v>306</v>
      </c>
      <c r="B558" s="20">
        <v>5073</v>
      </c>
      <c r="C558" s="77" t="str">
        <f>VLOOKUP(B558,IF(A558="COMPOSICAO",S!$A:$D,I!$A:$D),2,FALSE)</f>
        <v>PREGO DE ACO POLIDO COM CABECA 17 X 24 (2 1/4 X 11)</v>
      </c>
      <c r="D558" s="77"/>
      <c r="E558" s="77"/>
      <c r="F558" s="77"/>
      <c r="G558" s="16" t="str">
        <f>VLOOKUP(B558,IF(A558="COMPOSICAO",S!$A:$D,I!$A:$D),3,FALSE)</f>
        <v>KG</v>
      </c>
      <c r="H558" s="30">
        <v>7.0999999999999994E-2</v>
      </c>
      <c r="I558" s="17">
        <f>IF(A558="COMPOSICAO",VLOOKUP("TOTAL - "&amp;B558,COMPOSICAO_AUX_3!$A:$J,10,FALSE),VLOOKUP(B558,I!$A:$D,4,FALSE))</f>
        <v>19.7</v>
      </c>
      <c r="J558" s="80">
        <f t="shared" si="20"/>
        <v>1.39</v>
      </c>
      <c r="K558" s="81"/>
    </row>
    <row r="559" spans="1:13" ht="30" customHeight="1" x14ac:dyDescent="0.25">
      <c r="A559" s="16" t="s">
        <v>306</v>
      </c>
      <c r="B559" s="20">
        <v>20247</v>
      </c>
      <c r="C559" s="77" t="str">
        <f>VLOOKUP(B559,IF(A559="COMPOSICAO",S!$A:$D,I!$A:$D),2,FALSE)</f>
        <v>PREGO DE ACO POLIDO COM CABECA 15 X 15 (1 1/4 X 13)</v>
      </c>
      <c r="D559" s="77"/>
      <c r="E559" s="77"/>
      <c r="F559" s="77"/>
      <c r="G559" s="16" t="str">
        <f>VLOOKUP(B559,IF(A559="COMPOSICAO",S!$A:$D,I!$A:$D),3,FALSE)</f>
        <v>KG</v>
      </c>
      <c r="H559" s="30">
        <v>3.1E-2</v>
      </c>
      <c r="I559" s="17">
        <f>IF(A559="COMPOSICAO",VLOOKUP("TOTAL - "&amp;B559,COMPOSICAO_AUX_3!$A:$J,10,FALSE),VLOOKUP(B559,I!$A:$D,4,FALSE))</f>
        <v>21.4</v>
      </c>
      <c r="J559" s="80">
        <f t="shared" si="20"/>
        <v>0.66</v>
      </c>
      <c r="K559" s="81"/>
    </row>
    <row r="560" spans="1:13" ht="30" customHeight="1" x14ac:dyDescent="0.25">
      <c r="A560" s="16" t="s">
        <v>302</v>
      </c>
      <c r="B560" s="20">
        <v>88239</v>
      </c>
      <c r="C560" s="77" t="str">
        <f>VLOOKUP(B560,IF(A560="COMPOSICAO",S!$A:$D,I!$A:$D),2,FALSE)</f>
        <v>AJUDANTE DE CARPINTEIRO COM ENCARGOS COMPLEMENTARES</v>
      </c>
      <c r="D560" s="77"/>
      <c r="E560" s="77"/>
      <c r="F560" s="77"/>
      <c r="G560" s="16" t="str">
        <f>VLOOKUP(B560,IF(A560="COMPOSICAO",S!$A:$D,I!$A:$D),3,FALSE)</f>
        <v>H</v>
      </c>
      <c r="H560" s="30">
        <v>0.156</v>
      </c>
      <c r="I560" s="17">
        <f>IF(A560="COMPOSICAO",VLOOKUP("TOTAL - "&amp;B560,COMPOSICAO_AUX_3!$A:$J,10,FALSE),VLOOKUP(B560,I!$A:$D,4,FALSE))</f>
        <v>16.470000000000002</v>
      </c>
      <c r="J560" s="80">
        <f t="shared" si="20"/>
        <v>2.56</v>
      </c>
      <c r="K560" s="81"/>
    </row>
    <row r="561" spans="1:13" ht="30" customHeight="1" x14ac:dyDescent="0.25">
      <c r="A561" s="16" t="s">
        <v>302</v>
      </c>
      <c r="B561" s="20">
        <v>88262</v>
      </c>
      <c r="C561" s="77" t="str">
        <f>VLOOKUP(B561,IF(A561="COMPOSICAO",S!$A:$D,I!$A:$D),2,FALSE)</f>
        <v>CARPINTEIRO DE FORMAS COM ENCARGOS COMPLEMENTARES</v>
      </c>
      <c r="D561" s="77"/>
      <c r="E561" s="77"/>
      <c r="F561" s="77"/>
      <c r="G561" s="16" t="str">
        <f>VLOOKUP(B561,IF(A561="COMPOSICAO",S!$A:$D,I!$A:$D),3,FALSE)</f>
        <v>H</v>
      </c>
      <c r="H561" s="17">
        <v>0.78</v>
      </c>
      <c r="I561" s="17">
        <f>IF(A561="COMPOSICAO",VLOOKUP("TOTAL - "&amp;B561,COMPOSICAO_AUX_3!$A:$J,10,FALSE),VLOOKUP(B561,I!$A:$D,4,FALSE))</f>
        <v>19.649999999999999</v>
      </c>
      <c r="J561" s="80">
        <f t="shared" si="20"/>
        <v>15.32</v>
      </c>
      <c r="K561" s="81"/>
    </row>
    <row r="562" spans="1:13" ht="45" customHeight="1" x14ac:dyDescent="0.25">
      <c r="A562" s="16" t="s">
        <v>302</v>
      </c>
      <c r="B562" s="20">
        <v>91692</v>
      </c>
      <c r="C562" s="77" t="str">
        <f>VLOOKUP(B562,IF(A562="COMPOSICAO",S!$A:$D,I!$A:$D),2,FALSE)</f>
        <v>SERRA CIRCULAR DE BANCADA COM MOTOR ELÉTRICO POTÊNCIA DE 5HP, COM COIFA PARA DISCO 10" - CHP DIURNO. AF_08/2015</v>
      </c>
      <c r="D562" s="77"/>
      <c r="E562" s="77"/>
      <c r="F562" s="77"/>
      <c r="G562" s="16" t="str">
        <f>VLOOKUP(B562,IF(A562="COMPOSICAO",S!$A:$D,I!$A:$D),3,FALSE)</f>
        <v>CHP</v>
      </c>
      <c r="H562" s="30">
        <v>5.7000000000000002E-2</v>
      </c>
      <c r="I562" s="17">
        <f>IF(A562="COMPOSICAO",VLOOKUP("TOTAL - "&amp;B562,COMPOSICAO_AUX_3!$A:$J,10,FALSE),VLOOKUP(B562,I!$A:$D,4,FALSE))</f>
        <v>27.599999999999998</v>
      </c>
      <c r="J562" s="80">
        <f t="shared" si="20"/>
        <v>1.57</v>
      </c>
      <c r="K562" s="81"/>
    </row>
    <row r="563" spans="1:13" ht="45" customHeight="1" x14ac:dyDescent="0.25">
      <c r="A563" s="16" t="s">
        <v>302</v>
      </c>
      <c r="B563" s="20">
        <v>91693</v>
      </c>
      <c r="C563" s="77" t="str">
        <f>VLOOKUP(B563,IF(A563="COMPOSICAO",S!$A:$D,I!$A:$D),2,FALSE)</f>
        <v>SERRA CIRCULAR DE BANCADA COM MOTOR ELÉTRICO POTÊNCIA DE 5HP, COM COIFA PARA DISCO 10" - CHI DIURNO. AF_08/2015</v>
      </c>
      <c r="D563" s="77"/>
      <c r="E563" s="77"/>
      <c r="F563" s="77"/>
      <c r="G563" s="16" t="str">
        <f>VLOOKUP(B563,IF(A563="COMPOSICAO",S!$A:$D,I!$A:$D),3,FALSE)</f>
        <v>CHI</v>
      </c>
      <c r="H563" s="30">
        <v>9.9000000000000005E-2</v>
      </c>
      <c r="I563" s="17">
        <f>IF(A563="COMPOSICAO",VLOOKUP("TOTAL - "&amp;B563,COMPOSICAO_AUX_3!$A:$J,10,FALSE),VLOOKUP(B563,I!$A:$D,4,FALSE))</f>
        <v>25.14</v>
      </c>
      <c r="J563" s="80">
        <f t="shared" si="20"/>
        <v>2.48</v>
      </c>
      <c r="K563" s="81"/>
    </row>
    <row r="564" spans="1:13" ht="15" customHeight="1" x14ac:dyDescent="0.25">
      <c r="A564" s="23" t="s">
        <v>782</v>
      </c>
      <c r="B564" s="24"/>
      <c r="C564" s="24"/>
      <c r="D564" s="24"/>
      <c r="E564" s="24"/>
      <c r="F564" s="24"/>
      <c r="G564" s="25"/>
      <c r="H564" s="26"/>
      <c r="I564" s="27"/>
      <c r="J564" s="80">
        <f>SUM(J554:K563)</f>
        <v>150.04999999999998</v>
      </c>
      <c r="K564" s="81"/>
    </row>
    <row r="565" spans="1:13" ht="15" customHeight="1" x14ac:dyDescent="0.25">
      <c r="A565" s="3"/>
      <c r="B565" s="3"/>
      <c r="C565" s="3"/>
      <c r="D565" s="3"/>
      <c r="E565" s="3"/>
      <c r="F565" s="3"/>
      <c r="G565" s="3"/>
      <c r="H565" s="3"/>
      <c r="I565" s="3"/>
      <c r="J565" s="3"/>
      <c r="K565" s="3"/>
    </row>
    <row r="566" spans="1:13" ht="15" customHeight="1" x14ac:dyDescent="0.25">
      <c r="A566" s="10" t="s">
        <v>295</v>
      </c>
      <c r="B566" s="10" t="s">
        <v>31</v>
      </c>
      <c r="C566" s="82" t="s">
        <v>7</v>
      </c>
      <c r="D566" s="83"/>
      <c r="E566" s="83"/>
      <c r="F566" s="83"/>
      <c r="G566" s="6" t="s">
        <v>32</v>
      </c>
      <c r="H566" s="6" t="s">
        <v>296</v>
      </c>
      <c r="I566" s="6" t="s">
        <v>297</v>
      </c>
      <c r="J566" s="57" t="s">
        <v>9</v>
      </c>
      <c r="K566" s="58"/>
    </row>
    <row r="567" spans="1:13" ht="30" customHeight="1" x14ac:dyDescent="0.25">
      <c r="A567" s="6" t="s">
        <v>502</v>
      </c>
      <c r="B567" s="28">
        <v>95313</v>
      </c>
      <c r="C567" s="91" t="str">
        <f>VLOOKUP(B567,S!$A:$D,2,FALSE)</f>
        <v>CURSO DE CAPACITAÇÃO PARA AJUDANTE ESPECIALIZADO (ENCARGOS COMPLEMENTARES) - HORISTA</v>
      </c>
      <c r="D567" s="91"/>
      <c r="E567" s="91"/>
      <c r="F567" s="92"/>
      <c r="G567" s="6" t="str">
        <f>VLOOKUP(B567,S!$A:$D,3,FALSE)</f>
        <v>H</v>
      </c>
      <c r="H567" s="21"/>
      <c r="I567" s="21">
        <f>J569</f>
        <v>0.11</v>
      </c>
      <c r="J567" s="76"/>
      <c r="K567" s="72"/>
      <c r="L567" s="21">
        <f>VLOOKUP(B567,S!$A:$D,4,FALSE)</f>
        <v>0.11</v>
      </c>
      <c r="M567" s="6" t="str">
        <f>IF(ROUND((L567-I567),2)=0,"OK, confere com a tabela.",IF(ROUND((L567-I567),2)&lt;0,"ACIMA ("&amp;TEXT(ROUND(I567*100/L567,4),"0,0000")&amp;" %) da tabela.","ABAIXO ("&amp;TEXT(ROUND(I567*100/L567,4),"0,0000")&amp;" %) da tabela."))</f>
        <v>OK, confere com a tabela.</v>
      </c>
    </row>
    <row r="568" spans="1:13" ht="15" customHeight="1" x14ac:dyDescent="0.25">
      <c r="A568" s="16" t="s">
        <v>306</v>
      </c>
      <c r="B568" s="20">
        <v>242</v>
      </c>
      <c r="C568" s="77" t="str">
        <f>VLOOKUP(B568,IF(A568="COMPOSICAO",S!$A:$D,I!$A:$D),2,FALSE)</f>
        <v>AJUDANTE ESPECIALIZADO</v>
      </c>
      <c r="D568" s="77"/>
      <c r="E568" s="77"/>
      <c r="F568" s="77"/>
      <c r="G568" s="16" t="str">
        <f>VLOOKUP(B568,IF(A568="COMPOSICAO",S!$A:$D,I!$A:$D),3,FALSE)</f>
        <v>H</v>
      </c>
      <c r="H568" s="29">
        <v>8.2000000000000007E-3</v>
      </c>
      <c r="I568" s="17">
        <f>IF(A568="COMPOSICAO",VLOOKUP("TOTAL - "&amp;B568,COMPOSICAO_AUX_3!$A:$J,10,FALSE),VLOOKUP(B568,I!$A:$D,4,FALSE))</f>
        <v>13.74</v>
      </c>
      <c r="J568" s="80">
        <f>TRUNC(H568*I568,2)</f>
        <v>0.11</v>
      </c>
      <c r="K568" s="81"/>
    </row>
    <row r="569" spans="1:13" ht="15" customHeight="1" x14ac:dyDescent="0.25">
      <c r="A569" s="23" t="s">
        <v>783</v>
      </c>
      <c r="B569" s="24"/>
      <c r="C569" s="24"/>
      <c r="D569" s="24"/>
      <c r="E569" s="24"/>
      <c r="F569" s="24"/>
      <c r="G569" s="25"/>
      <c r="H569" s="26"/>
      <c r="I569" s="27"/>
      <c r="J569" s="80">
        <f>SUM(J567:K568)</f>
        <v>0.11</v>
      </c>
      <c r="K569" s="81"/>
    </row>
    <row r="570" spans="1:13" ht="15" customHeight="1" x14ac:dyDescent="0.25">
      <c r="A570" s="3"/>
      <c r="B570" s="3"/>
      <c r="C570" s="3"/>
      <c r="D570" s="3"/>
      <c r="E570" s="3"/>
      <c r="F570" s="3"/>
      <c r="G570" s="3"/>
      <c r="H570" s="3"/>
      <c r="I570" s="3"/>
      <c r="J570" s="3"/>
      <c r="K570" s="3"/>
    </row>
    <row r="571" spans="1:13" ht="15" customHeight="1" x14ac:dyDescent="0.25">
      <c r="A571" s="10" t="s">
        <v>295</v>
      </c>
      <c r="B571" s="10" t="s">
        <v>31</v>
      </c>
      <c r="C571" s="82" t="s">
        <v>7</v>
      </c>
      <c r="D571" s="83"/>
      <c r="E571" s="83"/>
      <c r="F571" s="83"/>
      <c r="G571" s="6" t="s">
        <v>32</v>
      </c>
      <c r="H571" s="6" t="s">
        <v>296</v>
      </c>
      <c r="I571" s="6" t="s">
        <v>297</v>
      </c>
      <c r="J571" s="57" t="s">
        <v>9</v>
      </c>
      <c r="K571" s="58"/>
    </row>
    <row r="572" spans="1:13" ht="30" customHeight="1" x14ac:dyDescent="0.25">
      <c r="A572" s="6" t="s">
        <v>502</v>
      </c>
      <c r="B572" s="28">
        <v>95338</v>
      </c>
      <c r="C572" s="91" t="str">
        <f>VLOOKUP(B572,S!$A:$D,2,FALSE)</f>
        <v>CURSO DE CAPACITAÇÃO PARA IMPERMEABILIZADOR (ENCARGOS COMPLEMENTARES) - HORISTA</v>
      </c>
      <c r="D572" s="91"/>
      <c r="E572" s="91"/>
      <c r="F572" s="92"/>
      <c r="G572" s="6" t="str">
        <f>VLOOKUP(B572,S!$A:$D,3,FALSE)</f>
        <v>H</v>
      </c>
      <c r="H572" s="21"/>
      <c r="I572" s="21">
        <f>J574</f>
        <v>0.22</v>
      </c>
      <c r="J572" s="76"/>
      <c r="K572" s="72"/>
      <c r="L572" s="21">
        <f>VLOOKUP(B572,S!$A:$D,4,FALSE)</f>
        <v>0.22</v>
      </c>
      <c r="M572" s="6" t="str">
        <f>IF(ROUND((L572-I572),2)=0,"OK, confere com a tabela.",IF(ROUND((L572-I572),2)&lt;0,"ACIMA ("&amp;TEXT(ROUND(I572*100/L572,4),"0,0000")&amp;" %) da tabela.","ABAIXO ("&amp;TEXT(ROUND(I572*100/L572,4),"0,0000")&amp;" %) da tabela."))</f>
        <v>OK, confere com a tabela.</v>
      </c>
    </row>
    <row r="573" spans="1:13" ht="15" customHeight="1" x14ac:dyDescent="0.25">
      <c r="A573" s="16" t="s">
        <v>306</v>
      </c>
      <c r="B573" s="20">
        <v>12873</v>
      </c>
      <c r="C573" s="77" t="str">
        <f>VLOOKUP(B573,IF(A573="COMPOSICAO",S!$A:$D,I!$A:$D),2,FALSE)</f>
        <v>IMPERMEABILIZADOR</v>
      </c>
      <c r="D573" s="77"/>
      <c r="E573" s="77"/>
      <c r="F573" s="77"/>
      <c r="G573" s="16" t="str">
        <f>VLOOKUP(B573,IF(A573="COMPOSICAO",S!$A:$D,I!$A:$D),3,FALSE)</f>
        <v>H</v>
      </c>
      <c r="H573" s="29">
        <v>1.5100000000000001E-2</v>
      </c>
      <c r="I573" s="17">
        <f>IF(A573="COMPOSICAO",VLOOKUP("TOTAL - "&amp;B573,COMPOSICAO_AUX_3!$A:$J,10,FALSE),VLOOKUP(B573,I!$A:$D,4,FALSE))</f>
        <v>14.93</v>
      </c>
      <c r="J573" s="80">
        <f>TRUNC(H573*I573,2)</f>
        <v>0.22</v>
      </c>
      <c r="K573" s="81"/>
    </row>
    <row r="574" spans="1:13" ht="15" customHeight="1" x14ac:dyDescent="0.25">
      <c r="A574" s="23" t="s">
        <v>784</v>
      </c>
      <c r="B574" s="24"/>
      <c r="C574" s="24"/>
      <c r="D574" s="24"/>
      <c r="E574" s="24"/>
      <c r="F574" s="24"/>
      <c r="G574" s="25"/>
      <c r="H574" s="26"/>
      <c r="I574" s="27"/>
      <c r="J574" s="80">
        <f>SUM(J572:K573)</f>
        <v>0.22</v>
      </c>
      <c r="K574" s="81"/>
    </row>
    <row r="575" spans="1:13" ht="15" customHeight="1" x14ac:dyDescent="0.25">
      <c r="A575" s="3"/>
      <c r="B575" s="3"/>
      <c r="C575" s="3"/>
      <c r="D575" s="3"/>
      <c r="E575" s="3"/>
      <c r="F575" s="3"/>
      <c r="G575" s="3"/>
      <c r="H575" s="3"/>
      <c r="I575" s="3"/>
      <c r="J575" s="3"/>
      <c r="K575" s="3"/>
    </row>
    <row r="576" spans="1:13" ht="15" customHeight="1" x14ac:dyDescent="0.25">
      <c r="A576" s="10" t="s">
        <v>295</v>
      </c>
      <c r="B576" s="10" t="s">
        <v>31</v>
      </c>
      <c r="C576" s="82" t="s">
        <v>7</v>
      </c>
      <c r="D576" s="83"/>
      <c r="E576" s="83"/>
      <c r="F576" s="83"/>
      <c r="G576" s="6" t="s">
        <v>32</v>
      </c>
      <c r="H576" s="6" t="s">
        <v>296</v>
      </c>
      <c r="I576" s="6" t="s">
        <v>297</v>
      </c>
      <c r="J576" s="57" t="s">
        <v>9</v>
      </c>
      <c r="K576" s="58"/>
    </row>
    <row r="577" spans="1:13" ht="30" customHeight="1" x14ac:dyDescent="0.25">
      <c r="A577" s="6" t="s">
        <v>502</v>
      </c>
      <c r="B577" s="28">
        <v>95309</v>
      </c>
      <c r="C577" s="91" t="str">
        <f>VLOOKUP(B577,S!$A:$D,2,FALSE)</f>
        <v>CURSO DE CAPACITAÇÃO PARA AJUDANTE DE CARPINTEIRO (ENCARGOS COMPLEMENTARES) - HORISTA</v>
      </c>
      <c r="D577" s="91"/>
      <c r="E577" s="91"/>
      <c r="F577" s="92"/>
      <c r="G577" s="6" t="str">
        <f>VLOOKUP(B577,S!$A:$D,3,FALSE)</f>
        <v>H</v>
      </c>
      <c r="H577" s="21"/>
      <c r="I577" s="21">
        <f>J579</f>
        <v>0.12</v>
      </c>
      <c r="J577" s="76"/>
      <c r="K577" s="72"/>
      <c r="L577" s="21">
        <f>VLOOKUP(B577,S!$A:$D,4,FALSE)</f>
        <v>0.12</v>
      </c>
      <c r="M577" s="6" t="str">
        <f>IF(ROUND((L577-I577),2)=0,"OK, confere com a tabela.",IF(ROUND((L577-I577),2)&lt;0,"ACIMA ("&amp;TEXT(ROUND(I577*100/L577,4),"0,0000")&amp;" %) da tabela.","ABAIXO ("&amp;TEXT(ROUND(I577*100/L577,4),"0,0000")&amp;" %) da tabela."))</f>
        <v>OK, confere com a tabela.</v>
      </c>
    </row>
    <row r="578" spans="1:13" ht="15" customHeight="1" x14ac:dyDescent="0.25">
      <c r="A578" s="16" t="s">
        <v>306</v>
      </c>
      <c r="B578" s="20">
        <v>6117</v>
      </c>
      <c r="C578" s="77" t="str">
        <f>VLOOKUP(B578,IF(A578="COMPOSICAO",S!$A:$D,I!$A:$D),2,FALSE)</f>
        <v>CARPINTEIRO AUXILIAR</v>
      </c>
      <c r="D578" s="77"/>
      <c r="E578" s="77"/>
      <c r="F578" s="77"/>
      <c r="G578" s="16" t="str">
        <f>VLOOKUP(B578,IF(A578="COMPOSICAO",S!$A:$D,I!$A:$D),3,FALSE)</f>
        <v>H</v>
      </c>
      <c r="H578" s="29">
        <v>1.0500000000000001E-2</v>
      </c>
      <c r="I578" s="17">
        <f>IF(A578="COMPOSICAO",VLOOKUP("TOTAL - "&amp;B578,COMPOSICAO_AUX_3!$A:$J,10,FALSE),VLOOKUP(B578,I!$A:$D,4,FALSE))</f>
        <v>11.75</v>
      </c>
      <c r="J578" s="80">
        <f>TRUNC(H578*I578,2)</f>
        <v>0.12</v>
      </c>
      <c r="K578" s="81"/>
    </row>
    <row r="579" spans="1:13" ht="15" customHeight="1" x14ac:dyDescent="0.25">
      <c r="A579" s="23" t="s">
        <v>785</v>
      </c>
      <c r="B579" s="24"/>
      <c r="C579" s="24"/>
      <c r="D579" s="24"/>
      <c r="E579" s="24"/>
      <c r="F579" s="24"/>
      <c r="G579" s="25"/>
      <c r="H579" s="26"/>
      <c r="I579" s="27"/>
      <c r="J579" s="80">
        <f>SUM(J577:K578)</f>
        <v>0.12</v>
      </c>
      <c r="K579" s="81"/>
    </row>
    <row r="580" spans="1:13" ht="15" customHeight="1" x14ac:dyDescent="0.25">
      <c r="A580" s="3"/>
      <c r="B580" s="3"/>
      <c r="C580" s="3"/>
      <c r="D580" s="3"/>
      <c r="E580" s="3"/>
      <c r="F580" s="3"/>
      <c r="G580" s="3"/>
      <c r="H580" s="3"/>
      <c r="I580" s="3"/>
      <c r="J580" s="3"/>
      <c r="K580" s="3"/>
    </row>
    <row r="581" spans="1:13" ht="15" customHeight="1" x14ac:dyDescent="0.25">
      <c r="A581" s="10" t="s">
        <v>295</v>
      </c>
      <c r="B581" s="10" t="s">
        <v>31</v>
      </c>
      <c r="C581" s="82" t="s">
        <v>7</v>
      </c>
      <c r="D581" s="83"/>
      <c r="E581" s="83"/>
      <c r="F581" s="83"/>
      <c r="G581" s="6" t="s">
        <v>32</v>
      </c>
      <c r="H581" s="6" t="s">
        <v>296</v>
      </c>
      <c r="I581" s="6" t="s">
        <v>297</v>
      </c>
      <c r="J581" s="57" t="s">
        <v>9</v>
      </c>
      <c r="K581" s="58"/>
    </row>
    <row r="582" spans="1:13" ht="45" customHeight="1" x14ac:dyDescent="0.25">
      <c r="A582" s="6" t="s">
        <v>572</v>
      </c>
      <c r="B582" s="28">
        <v>93287</v>
      </c>
      <c r="C582" s="91" t="str">
        <f>VLOOKUP(B582,S!$A:$D,2,FALSE)</f>
        <v>GUINDASTE HIDRÁULICO AUTOPROPELIDO, COM LANÇA TELESCÓPICA 40 M, CAPACIDADE MÁXIMA 60 T, POTÊNCIA 260 KW - CHP DIURNO. AF_03/2016</v>
      </c>
      <c r="D582" s="91"/>
      <c r="E582" s="91"/>
      <c r="F582" s="92"/>
      <c r="G582" s="6" t="str">
        <f>VLOOKUP(B582,S!$A:$D,3,FALSE)</f>
        <v>CHP</v>
      </c>
      <c r="H582" s="21"/>
      <c r="I582" s="21">
        <f>J589</f>
        <v>402.30999999999995</v>
      </c>
      <c r="J582" s="76"/>
      <c r="K582" s="72"/>
      <c r="L582" s="21">
        <f>VLOOKUP(B582,S!$A:$D,4,FALSE)</f>
        <v>402.31</v>
      </c>
      <c r="M582" s="6" t="str">
        <f>IF(ROUND((L582-I582),2)=0,"OK, confere com a tabela.",IF(ROUND((L582-I582),2)&lt;0,"ACIMA ("&amp;TEXT(ROUND(I582*100/L582,4),"0,0000")&amp;" %) da tabela.","ABAIXO ("&amp;TEXT(ROUND(I582*100/L582,4),"0,0000")&amp;" %) da tabela."))</f>
        <v>OK, confere com a tabela.</v>
      </c>
    </row>
    <row r="583" spans="1:13" ht="30" customHeight="1" x14ac:dyDescent="0.25">
      <c r="A583" s="16" t="s">
        <v>302</v>
      </c>
      <c r="B583" s="20">
        <v>88296</v>
      </c>
      <c r="C583" s="77" t="str">
        <f>VLOOKUP(B583,IF(A583="COMPOSICAO",S!$A:$D,I!$A:$D),2,FALSE)</f>
        <v>OPERADOR DE GUINDASTE COM ENCARGOS COMPLEMENTARES</v>
      </c>
      <c r="D583" s="77"/>
      <c r="E583" s="77"/>
      <c r="F583" s="77"/>
      <c r="G583" s="16" t="str">
        <f>VLOOKUP(B583,IF(A583="COMPOSICAO",S!$A:$D,I!$A:$D),3,FALSE)</f>
        <v>H</v>
      </c>
      <c r="H583" s="17">
        <v>1</v>
      </c>
      <c r="I583" s="17">
        <f>IF(A583="COMPOSICAO",VLOOKUP("TOTAL - "&amp;B583,COMPOSICAO_AUX_3!$A:$J,10,FALSE),VLOOKUP(B583,I!$A:$D,4,FALSE))</f>
        <v>23.669999999999998</v>
      </c>
      <c r="J583" s="80">
        <f t="shared" ref="J583:J588" si="21">TRUNC(H583*I583,2)</f>
        <v>23.67</v>
      </c>
      <c r="K583" s="81"/>
    </row>
    <row r="584" spans="1:13" ht="60" customHeight="1" x14ac:dyDescent="0.25">
      <c r="A584" s="16" t="s">
        <v>302</v>
      </c>
      <c r="B584" s="20">
        <v>93283</v>
      </c>
      <c r="C584" s="77" t="str">
        <f>VLOOKUP(B584,IF(A584="COMPOSICAO",S!$A:$D,I!$A:$D),2,FALSE)</f>
        <v>GUINDASTE HIDRÁULICO AUTOPROPELIDO, COM LANÇA TELESCÓPICA 40 M, CAPACIDADE MÁXIMA 60 T, POTÊNCIA 260 KW - DEPRECIAÇÃO. AF_03/2016</v>
      </c>
      <c r="D584" s="77"/>
      <c r="E584" s="77"/>
      <c r="F584" s="77"/>
      <c r="G584" s="16" t="str">
        <f>VLOOKUP(B584,IF(A584="COMPOSICAO",S!$A:$D,I!$A:$D),3,FALSE)</f>
        <v>H</v>
      </c>
      <c r="H584" s="17">
        <v>1</v>
      </c>
      <c r="I584" s="17">
        <f>IF(A584="COMPOSICAO",VLOOKUP("TOTAL - "&amp;B584,COMPOSICAO_AUX_3!$A:$J,10,FALSE),VLOOKUP(B584,I!$A:$D,4,FALSE))</f>
        <v>73.47</v>
      </c>
      <c r="J584" s="80">
        <f t="shared" si="21"/>
        <v>73.47</v>
      </c>
      <c r="K584" s="81"/>
    </row>
    <row r="585" spans="1:13" ht="45" customHeight="1" x14ac:dyDescent="0.25">
      <c r="A585" s="16" t="s">
        <v>302</v>
      </c>
      <c r="B585" s="20">
        <v>93284</v>
      </c>
      <c r="C585" s="77" t="str">
        <f>VLOOKUP(B585,IF(A585="COMPOSICAO",S!$A:$D,I!$A:$D),2,FALSE)</f>
        <v>GUINDASTE HIDRÁULICO AUTOPROPELIDO, COM LANÇA TELESCÓPICA 40 M, CAPACIDADE MÁXIMA 60 T, POTÊNCIA 260 KW - JUROS. AF_03/2016</v>
      </c>
      <c r="D585" s="77"/>
      <c r="E585" s="77"/>
      <c r="F585" s="77"/>
      <c r="G585" s="16" t="str">
        <f>VLOOKUP(B585,IF(A585="COMPOSICAO",S!$A:$D,I!$A:$D),3,FALSE)</f>
        <v>H</v>
      </c>
      <c r="H585" s="17">
        <v>1</v>
      </c>
      <c r="I585" s="17">
        <f>IF(A585="COMPOSICAO",VLOOKUP("TOTAL - "&amp;B585,COMPOSICAO_AUX_3!$A:$J,10,FALSE),VLOOKUP(B585,I!$A:$D,4,FALSE))</f>
        <v>13.96</v>
      </c>
      <c r="J585" s="80">
        <f t="shared" si="21"/>
        <v>13.96</v>
      </c>
      <c r="K585" s="81"/>
    </row>
    <row r="586" spans="1:13" ht="45" customHeight="1" x14ac:dyDescent="0.25">
      <c r="A586" s="16" t="s">
        <v>302</v>
      </c>
      <c r="B586" s="20">
        <v>93285</v>
      </c>
      <c r="C586" s="77" t="str">
        <f>VLOOKUP(B586,IF(A586="COMPOSICAO",S!$A:$D,I!$A:$D),2,FALSE)</f>
        <v>GUINDASTE HIDRÁULICO AUTOPROPELIDO, COM LANÇA TELESCÓPICA 40 M, CAPACIDADE MÁXIMA 60 T, POTÊNCIA 260 KW - MANUTENÇÃO. AF_03/2016</v>
      </c>
      <c r="D586" s="77"/>
      <c r="E586" s="77"/>
      <c r="F586" s="77"/>
      <c r="G586" s="16" t="str">
        <f>VLOOKUP(B586,IF(A586="COMPOSICAO",S!$A:$D,I!$A:$D),3,FALSE)</f>
        <v>H</v>
      </c>
      <c r="H586" s="17">
        <v>1</v>
      </c>
      <c r="I586" s="17">
        <f>IF(A586="COMPOSICAO",VLOOKUP("TOTAL - "&amp;B586,COMPOSICAO_AUX_3!$A:$J,10,FALSE),VLOOKUP(B586,I!$A:$D,4,FALSE))</f>
        <v>118.11</v>
      </c>
      <c r="J586" s="80">
        <f t="shared" si="21"/>
        <v>118.11</v>
      </c>
      <c r="K586" s="81"/>
    </row>
    <row r="587" spans="1:13" ht="60" customHeight="1" x14ac:dyDescent="0.25">
      <c r="A587" s="16" t="s">
        <v>302</v>
      </c>
      <c r="B587" s="20">
        <v>93286</v>
      </c>
      <c r="C587" s="77" t="str">
        <f>VLOOKUP(B587,IF(A587="COMPOSICAO",S!$A:$D,I!$A:$D),2,FALSE)</f>
        <v>GUINDASTE HIDRÁULICO AUTOPROPELIDO, COM LANÇA TELESCÓPICA 40 M, CAPACIDADE MÁXIMA 60 T, POTÊNCIA 260 KW - MATERIAIS NA OPERAÇÃO. AF_03/2016</v>
      </c>
      <c r="D587" s="77"/>
      <c r="E587" s="77"/>
      <c r="F587" s="77"/>
      <c r="G587" s="16" t="str">
        <f>VLOOKUP(B587,IF(A587="COMPOSICAO",S!$A:$D,I!$A:$D),3,FALSE)</f>
        <v>H</v>
      </c>
      <c r="H587" s="17">
        <v>1</v>
      </c>
      <c r="I587" s="17">
        <f>IF(A587="COMPOSICAO",VLOOKUP("TOTAL - "&amp;B587,COMPOSICAO_AUX_3!$A:$J,10,FALSE),VLOOKUP(B587,I!$A:$D,4,FALSE))</f>
        <v>167.96</v>
      </c>
      <c r="J587" s="80">
        <f t="shared" si="21"/>
        <v>167.96</v>
      </c>
      <c r="K587" s="81"/>
    </row>
    <row r="588" spans="1:13" ht="60" customHeight="1" x14ac:dyDescent="0.25">
      <c r="A588" s="16" t="s">
        <v>302</v>
      </c>
      <c r="B588" s="20">
        <v>93296</v>
      </c>
      <c r="C588" s="77" t="str">
        <f>VLOOKUP(B588,IF(A588="COMPOSICAO",S!$A:$D,I!$A:$D),2,FALSE)</f>
        <v>GUINDASTE HIDRÁULICO AUTOPROPELIDO, COM LANÇA TELESCÓPICA 40 M, CAPACIDADE MÁXIMA 60 T, POTÊNCIA 260 KW - IMPOSTOS E SEGUROS. AF_03/2016</v>
      </c>
      <c r="D588" s="77"/>
      <c r="E588" s="77"/>
      <c r="F588" s="77"/>
      <c r="G588" s="16" t="str">
        <f>VLOOKUP(B588,IF(A588="COMPOSICAO",S!$A:$D,I!$A:$D),3,FALSE)</f>
        <v>H</v>
      </c>
      <c r="H588" s="17">
        <v>1</v>
      </c>
      <c r="I588" s="17">
        <f>IF(A588="COMPOSICAO",VLOOKUP("TOTAL - "&amp;B588,COMPOSICAO_AUX_3!$A:$J,10,FALSE),VLOOKUP(B588,I!$A:$D,4,FALSE))</f>
        <v>5.14</v>
      </c>
      <c r="J588" s="80">
        <f t="shared" si="21"/>
        <v>5.14</v>
      </c>
      <c r="K588" s="81"/>
    </row>
    <row r="589" spans="1:13" ht="15" customHeight="1" x14ac:dyDescent="0.25">
      <c r="A589" s="23" t="s">
        <v>786</v>
      </c>
      <c r="B589" s="24"/>
      <c r="C589" s="24"/>
      <c r="D589" s="24"/>
      <c r="E589" s="24"/>
      <c r="F589" s="24"/>
      <c r="G589" s="25"/>
      <c r="H589" s="26"/>
      <c r="I589" s="27"/>
      <c r="J589" s="80">
        <f>SUM(J582:K588)</f>
        <v>402.30999999999995</v>
      </c>
      <c r="K589" s="81"/>
    </row>
    <row r="590" spans="1:13" ht="15" customHeight="1" x14ac:dyDescent="0.25">
      <c r="A590" s="3"/>
      <c r="B590" s="3"/>
      <c r="C590" s="3"/>
      <c r="D590" s="3"/>
      <c r="E590" s="3"/>
      <c r="F590" s="3"/>
      <c r="G590" s="3"/>
      <c r="H590" s="3"/>
      <c r="I590" s="3"/>
      <c r="J590" s="3"/>
      <c r="K590" s="3"/>
    </row>
    <row r="591" spans="1:13" ht="15" customHeight="1" x14ac:dyDescent="0.25">
      <c r="A591" s="10" t="s">
        <v>295</v>
      </c>
      <c r="B591" s="10" t="s">
        <v>31</v>
      </c>
      <c r="C591" s="82" t="s">
        <v>7</v>
      </c>
      <c r="D591" s="83"/>
      <c r="E591" s="83"/>
      <c r="F591" s="83"/>
      <c r="G591" s="6" t="s">
        <v>32</v>
      </c>
      <c r="H591" s="6" t="s">
        <v>296</v>
      </c>
      <c r="I591" s="6" t="s">
        <v>297</v>
      </c>
      <c r="J591" s="57" t="s">
        <v>9</v>
      </c>
      <c r="K591" s="58"/>
    </row>
    <row r="592" spans="1:13" ht="45" customHeight="1" x14ac:dyDescent="0.25">
      <c r="A592" s="6" t="s">
        <v>572</v>
      </c>
      <c r="B592" s="28">
        <v>93288</v>
      </c>
      <c r="C592" s="91" t="str">
        <f>VLOOKUP(B592,S!$A:$D,2,FALSE)</f>
        <v>GUINDASTE HIDRÁULICO AUTOPROPELIDO, COM LANÇA TELESCÓPICA 40 M, CAPACIDADE MÁXIMA 60 T, POTÊNCIA 260 KW - CHI DIURNO. AF_03/2016</v>
      </c>
      <c r="D592" s="91"/>
      <c r="E592" s="91"/>
      <c r="F592" s="92"/>
      <c r="G592" s="6" t="str">
        <f>VLOOKUP(B592,S!$A:$D,3,FALSE)</f>
        <v>CHI</v>
      </c>
      <c r="H592" s="21"/>
      <c r="I592" s="21">
        <f>J597</f>
        <v>116.24</v>
      </c>
      <c r="J592" s="76"/>
      <c r="K592" s="72"/>
      <c r="L592" s="21">
        <f>VLOOKUP(B592,S!$A:$D,4,FALSE)</f>
        <v>116.24</v>
      </c>
      <c r="M592" s="6" t="str">
        <f>IF(ROUND((L592-I592),2)=0,"OK, confere com a tabela.",IF(ROUND((L592-I592),2)&lt;0,"ACIMA ("&amp;TEXT(ROUND(I592*100/L592,4),"0,0000")&amp;" %) da tabela.","ABAIXO ("&amp;TEXT(ROUND(I592*100/L592,4),"0,0000")&amp;" %) da tabela."))</f>
        <v>OK, confere com a tabela.</v>
      </c>
    </row>
    <row r="593" spans="1:13" ht="30" customHeight="1" x14ac:dyDescent="0.25">
      <c r="A593" s="16" t="s">
        <v>302</v>
      </c>
      <c r="B593" s="20">
        <v>88296</v>
      </c>
      <c r="C593" s="77" t="str">
        <f>VLOOKUP(B593,IF(A593="COMPOSICAO",S!$A:$D,I!$A:$D),2,FALSE)</f>
        <v>OPERADOR DE GUINDASTE COM ENCARGOS COMPLEMENTARES</v>
      </c>
      <c r="D593" s="77"/>
      <c r="E593" s="77"/>
      <c r="F593" s="77"/>
      <c r="G593" s="16" t="str">
        <f>VLOOKUP(B593,IF(A593="COMPOSICAO",S!$A:$D,I!$A:$D),3,FALSE)</f>
        <v>H</v>
      </c>
      <c r="H593" s="17">
        <v>1</v>
      </c>
      <c r="I593" s="17">
        <f>IF(A593="COMPOSICAO",VLOOKUP("TOTAL - "&amp;B593,COMPOSICAO_AUX_3!$A:$J,10,FALSE),VLOOKUP(B593,I!$A:$D,4,FALSE))</f>
        <v>23.669999999999998</v>
      </c>
      <c r="J593" s="80">
        <f>TRUNC(H593*I593,2)</f>
        <v>23.67</v>
      </c>
      <c r="K593" s="81"/>
    </row>
    <row r="594" spans="1:13" ht="60" customHeight="1" x14ac:dyDescent="0.25">
      <c r="A594" s="16" t="s">
        <v>302</v>
      </c>
      <c r="B594" s="20">
        <v>93283</v>
      </c>
      <c r="C594" s="77" t="str">
        <f>VLOOKUP(B594,IF(A594="COMPOSICAO",S!$A:$D,I!$A:$D),2,FALSE)</f>
        <v>GUINDASTE HIDRÁULICO AUTOPROPELIDO, COM LANÇA TELESCÓPICA 40 M, CAPACIDADE MÁXIMA 60 T, POTÊNCIA 260 KW - DEPRECIAÇÃO. AF_03/2016</v>
      </c>
      <c r="D594" s="77"/>
      <c r="E594" s="77"/>
      <c r="F594" s="77"/>
      <c r="G594" s="16" t="str">
        <f>VLOOKUP(B594,IF(A594="COMPOSICAO",S!$A:$D,I!$A:$D),3,FALSE)</f>
        <v>H</v>
      </c>
      <c r="H594" s="17">
        <v>1</v>
      </c>
      <c r="I594" s="17">
        <f>IF(A594="COMPOSICAO",VLOOKUP("TOTAL - "&amp;B594,COMPOSICAO_AUX_3!$A:$J,10,FALSE),VLOOKUP(B594,I!$A:$D,4,FALSE))</f>
        <v>73.47</v>
      </c>
      <c r="J594" s="80">
        <f>TRUNC(H594*I594,2)</f>
        <v>73.47</v>
      </c>
      <c r="K594" s="81"/>
    </row>
    <row r="595" spans="1:13" ht="45" customHeight="1" x14ac:dyDescent="0.25">
      <c r="A595" s="16" t="s">
        <v>302</v>
      </c>
      <c r="B595" s="20">
        <v>93284</v>
      </c>
      <c r="C595" s="77" t="str">
        <f>VLOOKUP(B595,IF(A595="COMPOSICAO",S!$A:$D,I!$A:$D),2,FALSE)</f>
        <v>GUINDASTE HIDRÁULICO AUTOPROPELIDO, COM LANÇA TELESCÓPICA 40 M, CAPACIDADE MÁXIMA 60 T, POTÊNCIA 260 KW - JUROS. AF_03/2016</v>
      </c>
      <c r="D595" s="77"/>
      <c r="E595" s="77"/>
      <c r="F595" s="77"/>
      <c r="G595" s="16" t="str">
        <f>VLOOKUP(B595,IF(A595="COMPOSICAO",S!$A:$D,I!$A:$D),3,FALSE)</f>
        <v>H</v>
      </c>
      <c r="H595" s="17">
        <v>1</v>
      </c>
      <c r="I595" s="17">
        <f>IF(A595="COMPOSICAO",VLOOKUP("TOTAL - "&amp;B595,COMPOSICAO_AUX_3!$A:$J,10,FALSE),VLOOKUP(B595,I!$A:$D,4,FALSE))</f>
        <v>13.96</v>
      </c>
      <c r="J595" s="80">
        <f>TRUNC(H595*I595,2)</f>
        <v>13.96</v>
      </c>
      <c r="K595" s="81"/>
    </row>
    <row r="596" spans="1:13" ht="60" customHeight="1" x14ac:dyDescent="0.25">
      <c r="A596" s="16" t="s">
        <v>302</v>
      </c>
      <c r="B596" s="20">
        <v>93296</v>
      </c>
      <c r="C596" s="77" t="str">
        <f>VLOOKUP(B596,IF(A596="COMPOSICAO",S!$A:$D,I!$A:$D),2,FALSE)</f>
        <v>GUINDASTE HIDRÁULICO AUTOPROPELIDO, COM LANÇA TELESCÓPICA 40 M, CAPACIDADE MÁXIMA 60 T, POTÊNCIA 260 KW - IMPOSTOS E SEGUROS. AF_03/2016</v>
      </c>
      <c r="D596" s="77"/>
      <c r="E596" s="77"/>
      <c r="F596" s="77"/>
      <c r="G596" s="16" t="str">
        <f>VLOOKUP(B596,IF(A596="COMPOSICAO",S!$A:$D,I!$A:$D),3,FALSE)</f>
        <v>H</v>
      </c>
      <c r="H596" s="17">
        <v>1</v>
      </c>
      <c r="I596" s="17">
        <f>IF(A596="COMPOSICAO",VLOOKUP("TOTAL - "&amp;B596,COMPOSICAO_AUX_3!$A:$J,10,FALSE),VLOOKUP(B596,I!$A:$D,4,FALSE))</f>
        <v>5.14</v>
      </c>
      <c r="J596" s="80">
        <f>TRUNC(H596*I596,2)</f>
        <v>5.14</v>
      </c>
      <c r="K596" s="81"/>
    </row>
    <row r="597" spans="1:13" ht="15" customHeight="1" x14ac:dyDescent="0.25">
      <c r="A597" s="23" t="s">
        <v>787</v>
      </c>
      <c r="B597" s="24"/>
      <c r="C597" s="24"/>
      <c r="D597" s="24"/>
      <c r="E597" s="24"/>
      <c r="F597" s="24"/>
      <c r="G597" s="25"/>
      <c r="H597" s="26"/>
      <c r="I597" s="27"/>
      <c r="J597" s="80">
        <f>SUM(J592:K596)</f>
        <v>116.24</v>
      </c>
      <c r="K597" s="81"/>
    </row>
    <row r="598" spans="1:13" ht="15" customHeight="1" x14ac:dyDescent="0.25">
      <c r="A598" s="3"/>
      <c r="B598" s="3"/>
      <c r="C598" s="3"/>
      <c r="D598" s="3"/>
      <c r="E598" s="3"/>
      <c r="F598" s="3"/>
      <c r="G598" s="3"/>
      <c r="H598" s="3"/>
      <c r="I598" s="3"/>
      <c r="J598" s="3"/>
      <c r="K598" s="3"/>
    </row>
    <row r="599" spans="1:13" ht="15" customHeight="1" x14ac:dyDescent="0.25">
      <c r="A599" s="10" t="s">
        <v>295</v>
      </c>
      <c r="B599" s="10" t="s">
        <v>31</v>
      </c>
      <c r="C599" s="82" t="s">
        <v>7</v>
      </c>
      <c r="D599" s="83"/>
      <c r="E599" s="83"/>
      <c r="F599" s="83"/>
      <c r="G599" s="6" t="s">
        <v>32</v>
      </c>
      <c r="H599" s="6" t="s">
        <v>296</v>
      </c>
      <c r="I599" s="6" t="s">
        <v>297</v>
      </c>
      <c r="J599" s="57" t="s">
        <v>9</v>
      </c>
      <c r="K599" s="58"/>
    </row>
    <row r="600" spans="1:13" ht="30" customHeight="1" x14ac:dyDescent="0.25">
      <c r="A600" s="6" t="s">
        <v>502</v>
      </c>
      <c r="B600" s="28">
        <v>88295</v>
      </c>
      <c r="C600" s="91" t="str">
        <f>VLOOKUP(B600,S!$A:$D,2,FALSE)</f>
        <v>OPERADOR DE GUINCHO COM ENCARGOS COMPLEMENTARES</v>
      </c>
      <c r="D600" s="91"/>
      <c r="E600" s="91"/>
      <c r="F600" s="92"/>
      <c r="G600" s="6" t="str">
        <f>VLOOKUP(B600,S!$A:$D,3,FALSE)</f>
        <v>H</v>
      </c>
      <c r="H600" s="21"/>
      <c r="I600" s="21">
        <f>J609</f>
        <v>23.08</v>
      </c>
      <c r="J600" s="76"/>
      <c r="K600" s="72"/>
      <c r="L600" s="21">
        <f>VLOOKUP(B600,S!$A:$D,4,FALSE)</f>
        <v>23.08</v>
      </c>
      <c r="M600" s="6" t="str">
        <f>IF(ROUND((L600-I600),2)=0,"OK, confere com a tabela.",IF(ROUND((L600-I600),2)&lt;0,"ACIMA ("&amp;TEXT(ROUND(I600*100/L600,4),"0,0000")&amp;" %) da tabela.","ABAIXO ("&amp;TEXT(ROUND(I600*100/L600,4),"0,0000")&amp;" %) da tabela."))</f>
        <v>OK, confere com a tabela.</v>
      </c>
    </row>
    <row r="601" spans="1:13" ht="15" customHeight="1" x14ac:dyDescent="0.25">
      <c r="A601" s="16" t="s">
        <v>306</v>
      </c>
      <c r="B601" s="20">
        <v>4253</v>
      </c>
      <c r="C601" s="77" t="str">
        <f>VLOOKUP(B601,IF(A601="COMPOSICAO",S!$A:$D,I!$A:$D),2,FALSE)</f>
        <v>OPERADOR DE GUINCHO OU GUINCHEIRO</v>
      </c>
      <c r="D601" s="77"/>
      <c r="E601" s="77"/>
      <c r="F601" s="77"/>
      <c r="G601" s="16" t="str">
        <f>VLOOKUP(B601,IF(A601="COMPOSICAO",S!$A:$D,I!$A:$D),3,FALSE)</f>
        <v>H</v>
      </c>
      <c r="H601" s="17">
        <v>1</v>
      </c>
      <c r="I601" s="17">
        <f>IF(A601="COMPOSICAO",VLOOKUP("TOTAL - "&amp;B601,COMPOSICAO_AUX_3!$A:$J,10,FALSE),VLOOKUP(B601,I!$A:$D,4,FALSE))</f>
        <v>19.05</v>
      </c>
      <c r="J601" s="80">
        <f t="shared" ref="J601:J608" si="22">TRUNC(H601*I601,2)</f>
        <v>19.05</v>
      </c>
      <c r="K601" s="81"/>
    </row>
    <row r="602" spans="1:13" ht="15" customHeight="1" x14ac:dyDescent="0.25">
      <c r="A602" s="16" t="s">
        <v>306</v>
      </c>
      <c r="B602" s="20">
        <v>37370</v>
      </c>
      <c r="C602" s="77" t="str">
        <f>VLOOKUP(B602,IF(A602="COMPOSICAO",S!$A:$D,I!$A:$D),2,FALSE)</f>
        <v>ALIMENTACAO - HORISTA (COLETADO CAIXA)</v>
      </c>
      <c r="D602" s="77"/>
      <c r="E602" s="77"/>
      <c r="F602" s="77"/>
      <c r="G602" s="16" t="str">
        <f>VLOOKUP(B602,IF(A602="COMPOSICAO",S!$A:$D,I!$A:$D),3,FALSE)</f>
        <v>H</v>
      </c>
      <c r="H602" s="17">
        <v>1</v>
      </c>
      <c r="I602" s="17">
        <f>IF(A602="COMPOSICAO",VLOOKUP("TOTAL - "&amp;B602,COMPOSICAO_AUX_3!$A:$J,10,FALSE),VLOOKUP(B602,I!$A:$D,4,FALSE))</f>
        <v>1.86</v>
      </c>
      <c r="J602" s="80">
        <f t="shared" si="22"/>
        <v>1.86</v>
      </c>
      <c r="K602" s="81"/>
    </row>
    <row r="603" spans="1:13" ht="15" customHeight="1" x14ac:dyDescent="0.25">
      <c r="A603" s="16" t="s">
        <v>306</v>
      </c>
      <c r="B603" s="20">
        <v>37371</v>
      </c>
      <c r="C603" s="77" t="str">
        <f>VLOOKUP(B603,IF(A603="COMPOSICAO",S!$A:$D,I!$A:$D),2,FALSE)</f>
        <v>TRANSPORTE - HORISTA (COLETADO CAIXA)</v>
      </c>
      <c r="D603" s="77"/>
      <c r="E603" s="77"/>
      <c r="F603" s="77"/>
      <c r="G603" s="16" t="str">
        <f>VLOOKUP(B603,IF(A603="COMPOSICAO",S!$A:$D,I!$A:$D),3,FALSE)</f>
        <v>H</v>
      </c>
      <c r="H603" s="17">
        <v>1</v>
      </c>
      <c r="I603" s="17">
        <f>IF(A603="COMPOSICAO",VLOOKUP("TOTAL - "&amp;B603,COMPOSICAO_AUX_3!$A:$J,10,FALSE),VLOOKUP(B603,I!$A:$D,4,FALSE))</f>
        <v>0.7</v>
      </c>
      <c r="J603" s="80">
        <f t="shared" si="22"/>
        <v>0.7</v>
      </c>
      <c r="K603" s="81"/>
    </row>
    <row r="604" spans="1:13" ht="15" customHeight="1" x14ac:dyDescent="0.25">
      <c r="A604" s="16" t="s">
        <v>306</v>
      </c>
      <c r="B604" s="20">
        <v>37372</v>
      </c>
      <c r="C604" s="77" t="str">
        <f>VLOOKUP(B604,IF(A604="COMPOSICAO",S!$A:$D,I!$A:$D),2,FALSE)</f>
        <v>EXAMES - HORISTA (COLETADO CAIXA)</v>
      </c>
      <c r="D604" s="77"/>
      <c r="E604" s="77"/>
      <c r="F604" s="77"/>
      <c r="G604" s="16" t="str">
        <f>VLOOKUP(B604,IF(A604="COMPOSICAO",S!$A:$D,I!$A:$D),3,FALSE)</f>
        <v>H</v>
      </c>
      <c r="H604" s="17">
        <v>1</v>
      </c>
      <c r="I604" s="17">
        <f>IF(A604="COMPOSICAO",VLOOKUP("TOTAL - "&amp;B604,COMPOSICAO_AUX_3!$A:$J,10,FALSE),VLOOKUP(B604,I!$A:$D,4,FALSE))</f>
        <v>0.55000000000000004</v>
      </c>
      <c r="J604" s="80">
        <f t="shared" si="22"/>
        <v>0.55000000000000004</v>
      </c>
      <c r="K604" s="81"/>
    </row>
    <row r="605" spans="1:13" ht="15" customHeight="1" x14ac:dyDescent="0.25">
      <c r="A605" s="16" t="s">
        <v>306</v>
      </c>
      <c r="B605" s="20">
        <v>37373</v>
      </c>
      <c r="C605" s="77" t="str">
        <f>VLOOKUP(B605,IF(A605="COMPOSICAO",S!$A:$D,I!$A:$D),2,FALSE)</f>
        <v>SEGURO - HORISTA (COLETADO CAIXA)</v>
      </c>
      <c r="D605" s="77"/>
      <c r="E605" s="77"/>
      <c r="F605" s="77"/>
      <c r="G605" s="16" t="str">
        <f>VLOOKUP(B605,IF(A605="COMPOSICAO",S!$A:$D,I!$A:$D),3,FALSE)</f>
        <v>H</v>
      </c>
      <c r="H605" s="17">
        <v>1</v>
      </c>
      <c r="I605" s="17">
        <f>IF(A605="COMPOSICAO",VLOOKUP("TOTAL - "&amp;B605,COMPOSICAO_AUX_3!$A:$J,10,FALSE),VLOOKUP(B605,I!$A:$D,4,FALSE))</f>
        <v>0.06</v>
      </c>
      <c r="J605" s="80">
        <f t="shared" si="22"/>
        <v>0.06</v>
      </c>
      <c r="K605" s="81"/>
    </row>
    <row r="606" spans="1:13" ht="45" customHeight="1" x14ac:dyDescent="0.25">
      <c r="A606" s="16" t="s">
        <v>306</v>
      </c>
      <c r="B606" s="20">
        <v>43464</v>
      </c>
      <c r="C606" s="77" t="str">
        <f>VLOOKUP(B606,IF(A606="COMPOSICAO",S!$A:$D,I!$A:$D),2,FALSE)</f>
        <v>FERRAMENTAS - FAMILIA OPERADOR ESCAVADEIRA - HORISTA (ENCARGOS COMPLEMENTARES - COLETADO CAIXA)</v>
      </c>
      <c r="D606" s="77"/>
      <c r="E606" s="77"/>
      <c r="F606" s="77"/>
      <c r="G606" s="16" t="str">
        <f>VLOOKUP(B606,IF(A606="COMPOSICAO",S!$A:$D,I!$A:$D),3,FALSE)</f>
        <v>H</v>
      </c>
      <c r="H606" s="17">
        <v>1</v>
      </c>
      <c r="I606" s="17">
        <f>IF(A606="COMPOSICAO",VLOOKUP("TOTAL - "&amp;B606,COMPOSICAO_AUX_3!$A:$J,10,FALSE),VLOOKUP(B606,I!$A:$D,4,FALSE))</f>
        <v>0.01</v>
      </c>
      <c r="J606" s="80">
        <f t="shared" si="22"/>
        <v>0.01</v>
      </c>
      <c r="K606" s="81"/>
    </row>
    <row r="607" spans="1:13" ht="30" customHeight="1" x14ac:dyDescent="0.25">
      <c r="A607" s="16" t="s">
        <v>306</v>
      </c>
      <c r="B607" s="20">
        <v>43488</v>
      </c>
      <c r="C607" s="77" t="str">
        <f>VLOOKUP(B607,IF(A607="COMPOSICAO",S!$A:$D,I!$A:$D),2,FALSE)</f>
        <v>EPI - FAMILIA OPERADOR ESCAVADEIRA - HORISTA (ENCARGOS COMPLEMENTARES - COLETADO CAIXA)</v>
      </c>
      <c r="D607" s="77"/>
      <c r="E607" s="77"/>
      <c r="F607" s="77"/>
      <c r="G607" s="16" t="str">
        <f>VLOOKUP(B607,IF(A607="COMPOSICAO",S!$A:$D,I!$A:$D),3,FALSE)</f>
        <v>H</v>
      </c>
      <c r="H607" s="17">
        <v>1</v>
      </c>
      <c r="I607" s="17">
        <f>IF(A607="COMPOSICAO",VLOOKUP("TOTAL - "&amp;B607,COMPOSICAO_AUX_3!$A:$J,10,FALSE),VLOOKUP(B607,I!$A:$D,4,FALSE))</f>
        <v>0.63</v>
      </c>
      <c r="J607" s="80">
        <f t="shared" si="22"/>
        <v>0.63</v>
      </c>
      <c r="K607" s="81"/>
    </row>
    <row r="608" spans="1:13" ht="30" customHeight="1" x14ac:dyDescent="0.25">
      <c r="A608" s="16" t="s">
        <v>302</v>
      </c>
      <c r="B608" s="20">
        <v>95358</v>
      </c>
      <c r="C608" s="77" t="str">
        <f>VLOOKUP(B608,IF(A608="COMPOSICAO",S!$A:$D,I!$A:$D),2,FALSE)</f>
        <v>CURSO DE CAPACITAÇÃO PARA OPERADOR DE GUINCHO (ENCARGOS COMPLEMENTARES) - HORISTA</v>
      </c>
      <c r="D608" s="77"/>
      <c r="E608" s="77"/>
      <c r="F608" s="77"/>
      <c r="G608" s="16" t="str">
        <f>VLOOKUP(B608,IF(A608="COMPOSICAO",S!$A:$D,I!$A:$D),3,FALSE)</f>
        <v>H</v>
      </c>
      <c r="H608" s="17">
        <v>1</v>
      </c>
      <c r="I608" s="17">
        <f>IF(A608="COMPOSICAO",VLOOKUP("TOTAL - "&amp;B608,COMPOSICAO_AUX_3!$A:$J,10,FALSE),VLOOKUP(B608,I!$A:$D,4,FALSE))</f>
        <v>0.22</v>
      </c>
      <c r="J608" s="80">
        <f t="shared" si="22"/>
        <v>0.22</v>
      </c>
      <c r="K608" s="81"/>
    </row>
    <row r="609" spans="1:13" ht="15" customHeight="1" x14ac:dyDescent="0.25">
      <c r="A609" s="23" t="s">
        <v>788</v>
      </c>
      <c r="B609" s="24"/>
      <c r="C609" s="24"/>
      <c r="D609" s="24"/>
      <c r="E609" s="24"/>
      <c r="F609" s="24"/>
      <c r="G609" s="25"/>
      <c r="H609" s="26"/>
      <c r="I609" s="27"/>
      <c r="J609" s="80">
        <f>SUM(J600:K608)</f>
        <v>23.08</v>
      </c>
      <c r="K609" s="81"/>
    </row>
    <row r="610" spans="1:13" ht="15" customHeight="1" x14ac:dyDescent="0.25">
      <c r="A610" s="3"/>
      <c r="B610" s="3"/>
      <c r="C610" s="3"/>
      <c r="D610" s="3"/>
      <c r="E610" s="3"/>
      <c r="F610" s="3"/>
      <c r="G610" s="3"/>
      <c r="H610" s="3"/>
      <c r="I610" s="3"/>
      <c r="J610" s="3"/>
      <c r="K610" s="3"/>
    </row>
    <row r="611" spans="1:13" ht="15" customHeight="1" x14ac:dyDescent="0.25">
      <c r="A611" s="10" t="s">
        <v>295</v>
      </c>
      <c r="B611" s="10" t="s">
        <v>31</v>
      </c>
      <c r="C611" s="82" t="s">
        <v>7</v>
      </c>
      <c r="D611" s="83"/>
      <c r="E611" s="83"/>
      <c r="F611" s="83"/>
      <c r="G611" s="6" t="s">
        <v>32</v>
      </c>
      <c r="H611" s="6" t="s">
        <v>296</v>
      </c>
      <c r="I611" s="6" t="s">
        <v>297</v>
      </c>
      <c r="J611" s="57" t="s">
        <v>9</v>
      </c>
      <c r="K611" s="58"/>
    </row>
    <row r="612" spans="1:13" ht="45" customHeight="1" x14ac:dyDescent="0.25">
      <c r="A612" s="6" t="s">
        <v>572</v>
      </c>
      <c r="B612" s="28">
        <v>93277</v>
      </c>
      <c r="C612" s="91" t="str">
        <f>VLOOKUP(B612,S!$A:$D,2,FALSE)</f>
        <v>GUINCHO ELÉTRICO DE COLUNA, CAPACIDADE 400 KG, COM MOTO FREIO, MOTOR TRIFÁSICO DE 1,25 CV - DEPRECIAÇÃO. AF_03/2016</v>
      </c>
      <c r="D612" s="91"/>
      <c r="E612" s="91"/>
      <c r="F612" s="92"/>
      <c r="G612" s="6" t="str">
        <f>VLOOKUP(B612,S!$A:$D,3,FALSE)</f>
        <v>H</v>
      </c>
      <c r="H612" s="21"/>
      <c r="I612" s="21">
        <f>J614</f>
        <v>0.3</v>
      </c>
      <c r="J612" s="76"/>
      <c r="K612" s="72"/>
      <c r="L612" s="21">
        <f>VLOOKUP(B612,S!$A:$D,4,FALSE)</f>
        <v>0.3</v>
      </c>
      <c r="M612" s="6" t="str">
        <f>IF(ROUND((L612-I612),2)=0,"OK, confere com a tabela.",IF(ROUND((L612-I612),2)&lt;0,"ACIMA ("&amp;TEXT(ROUND(I612*100/L612,4),"0,0000")&amp;" %) da tabela.","ABAIXO ("&amp;TEXT(ROUND(I612*100/L612,4),"0,0000")&amp;" %) da tabela."))</f>
        <v>OK, confere com a tabela.</v>
      </c>
    </row>
    <row r="613" spans="1:13" ht="30" customHeight="1" x14ac:dyDescent="0.25">
      <c r="A613" s="16" t="s">
        <v>306</v>
      </c>
      <c r="B613" s="20">
        <v>36487</v>
      </c>
      <c r="C613" s="77" t="str">
        <f>VLOOKUP(B613,IF(A613="COMPOSICAO",S!$A:$D,I!$A:$D),2,FALSE)</f>
        <v>GUINCHO ELETRICO DE COLUNA, CAPACIDADE 400 KG, COM MOTO FREIO, MOTOR TRIFASICO DE 1,25 CV</v>
      </c>
      <c r="D613" s="77"/>
      <c r="E613" s="77"/>
      <c r="F613" s="77"/>
      <c r="G613" s="16" t="str">
        <f>VLOOKUP(B613,IF(A613="COMPOSICAO",S!$A:$D,I!$A:$D),3,FALSE)</f>
        <v>UN</v>
      </c>
      <c r="H613" s="32">
        <v>6.3999999999999997E-5</v>
      </c>
      <c r="I613" s="17">
        <f>IF(A613="COMPOSICAO",VLOOKUP("TOTAL - "&amp;B613,COMPOSICAO_AUX_3!$A:$J,10,FALSE),VLOOKUP(B613,I!$A:$D,4,FALSE))</f>
        <v>4768.16</v>
      </c>
      <c r="J613" s="80">
        <f>TRUNC(H613*I613,2)</f>
        <v>0.3</v>
      </c>
      <c r="K613" s="81"/>
    </row>
    <row r="614" spans="1:13" ht="15" customHeight="1" x14ac:dyDescent="0.25">
      <c r="A614" s="23" t="s">
        <v>789</v>
      </c>
      <c r="B614" s="24"/>
      <c r="C614" s="24"/>
      <c r="D614" s="24"/>
      <c r="E614" s="24"/>
      <c r="F614" s="24"/>
      <c r="G614" s="25"/>
      <c r="H614" s="26"/>
      <c r="I614" s="27"/>
      <c r="J614" s="80">
        <f>SUM(J612:K613)</f>
        <v>0.3</v>
      </c>
      <c r="K614" s="81"/>
    </row>
    <row r="615" spans="1:13" ht="15" customHeight="1" x14ac:dyDescent="0.25">
      <c r="A615" s="3"/>
      <c r="B615" s="3"/>
      <c r="C615" s="3"/>
      <c r="D615" s="3"/>
      <c r="E615" s="3"/>
      <c r="F615" s="3"/>
      <c r="G615" s="3"/>
      <c r="H615" s="3"/>
      <c r="I615" s="3"/>
      <c r="J615" s="3"/>
      <c r="K615" s="3"/>
    </row>
    <row r="616" spans="1:13" ht="15" customHeight="1" x14ac:dyDescent="0.25">
      <c r="A616" s="10" t="s">
        <v>295</v>
      </c>
      <c r="B616" s="10" t="s">
        <v>31</v>
      </c>
      <c r="C616" s="82" t="s">
        <v>7</v>
      </c>
      <c r="D616" s="83"/>
      <c r="E616" s="83"/>
      <c r="F616" s="83"/>
      <c r="G616" s="6" t="s">
        <v>32</v>
      </c>
      <c r="H616" s="6" t="s">
        <v>296</v>
      </c>
      <c r="I616" s="6" t="s">
        <v>297</v>
      </c>
      <c r="J616" s="57" t="s">
        <v>9</v>
      </c>
      <c r="K616" s="58"/>
    </row>
    <row r="617" spans="1:13" ht="45" customHeight="1" x14ac:dyDescent="0.25">
      <c r="A617" s="6" t="s">
        <v>572</v>
      </c>
      <c r="B617" s="28">
        <v>93278</v>
      </c>
      <c r="C617" s="91" t="str">
        <f>VLOOKUP(B617,S!$A:$D,2,FALSE)</f>
        <v>GUINCHO ELÉTRICO DE COLUNA, CAPACIDADE 400 KG, COM MOTO FREIO, MOTOR TRIFÁSICO DE 1,25 CV - JUROS. AF_03/2016</v>
      </c>
      <c r="D617" s="91"/>
      <c r="E617" s="91"/>
      <c r="F617" s="92"/>
      <c r="G617" s="6" t="str">
        <f>VLOOKUP(B617,S!$A:$D,3,FALSE)</f>
        <v>H</v>
      </c>
      <c r="H617" s="21"/>
      <c r="I617" s="21">
        <f>J619</f>
        <v>0.03</v>
      </c>
      <c r="J617" s="76"/>
      <c r="K617" s="72"/>
      <c r="L617" s="21">
        <f>VLOOKUP(B617,S!$A:$D,4,FALSE)</f>
        <v>0.03</v>
      </c>
      <c r="M617" s="6" t="str">
        <f>IF(ROUND((L617-I617),2)=0,"OK, confere com a tabela.",IF(ROUND((L617-I617),2)&lt;0,"ACIMA ("&amp;TEXT(ROUND(I617*100/L617,4),"0,0000")&amp;" %) da tabela.","ABAIXO ("&amp;TEXT(ROUND(I617*100/L617,4),"0,0000")&amp;" %) da tabela."))</f>
        <v>OK, confere com a tabela.</v>
      </c>
    </row>
    <row r="618" spans="1:13" ht="30" customHeight="1" x14ac:dyDescent="0.25">
      <c r="A618" s="16" t="s">
        <v>306</v>
      </c>
      <c r="B618" s="20">
        <v>36487</v>
      </c>
      <c r="C618" s="77" t="str">
        <f>VLOOKUP(B618,IF(A618="COMPOSICAO",S!$A:$D,I!$A:$D),2,FALSE)</f>
        <v>GUINCHO ELETRICO DE COLUNA, CAPACIDADE 400 KG, COM MOTO FREIO, MOTOR TRIFASICO DE 1,25 CV</v>
      </c>
      <c r="D618" s="77"/>
      <c r="E618" s="77"/>
      <c r="F618" s="77"/>
      <c r="G618" s="16" t="str">
        <f>VLOOKUP(B618,IF(A618="COMPOSICAO",S!$A:$D,I!$A:$D),3,FALSE)</f>
        <v>UN</v>
      </c>
      <c r="H618" s="31">
        <v>7.6000000000000001E-6</v>
      </c>
      <c r="I618" s="17">
        <f>IF(A618="COMPOSICAO",VLOOKUP("TOTAL - "&amp;B618,COMPOSICAO_AUX_3!$A:$J,10,FALSE),VLOOKUP(B618,I!$A:$D,4,FALSE))</f>
        <v>4768.16</v>
      </c>
      <c r="J618" s="80">
        <f>TRUNC(H618*I618,2)</f>
        <v>0.03</v>
      </c>
      <c r="K618" s="81"/>
    </row>
    <row r="619" spans="1:13" ht="15" customHeight="1" x14ac:dyDescent="0.25">
      <c r="A619" s="23" t="s">
        <v>790</v>
      </c>
      <c r="B619" s="24"/>
      <c r="C619" s="24"/>
      <c r="D619" s="24"/>
      <c r="E619" s="24"/>
      <c r="F619" s="24"/>
      <c r="G619" s="25"/>
      <c r="H619" s="26"/>
      <c r="I619" s="27"/>
      <c r="J619" s="80">
        <f>SUM(J617:K618)</f>
        <v>0.03</v>
      </c>
      <c r="K619" s="81"/>
    </row>
    <row r="620" spans="1:13" ht="15" customHeight="1" x14ac:dyDescent="0.25">
      <c r="A620" s="3"/>
      <c r="B620" s="3"/>
      <c r="C620" s="3"/>
      <c r="D620" s="3"/>
      <c r="E620" s="3"/>
      <c r="F620" s="3"/>
      <c r="G620" s="3"/>
      <c r="H620" s="3"/>
      <c r="I620" s="3"/>
      <c r="J620" s="3"/>
      <c r="K620" s="3"/>
    </row>
    <row r="621" spans="1:13" ht="15" customHeight="1" x14ac:dyDescent="0.25">
      <c r="A621" s="10" t="s">
        <v>295</v>
      </c>
      <c r="B621" s="10" t="s">
        <v>31</v>
      </c>
      <c r="C621" s="82" t="s">
        <v>7</v>
      </c>
      <c r="D621" s="83"/>
      <c r="E621" s="83"/>
      <c r="F621" s="83"/>
      <c r="G621" s="6" t="s">
        <v>32</v>
      </c>
      <c r="H621" s="6" t="s">
        <v>296</v>
      </c>
      <c r="I621" s="6" t="s">
        <v>297</v>
      </c>
      <c r="J621" s="57" t="s">
        <v>9</v>
      </c>
      <c r="K621" s="58"/>
    </row>
    <row r="622" spans="1:13" ht="45" customHeight="1" x14ac:dyDescent="0.25">
      <c r="A622" s="6" t="s">
        <v>572</v>
      </c>
      <c r="B622" s="28">
        <v>93279</v>
      </c>
      <c r="C622" s="91" t="str">
        <f>VLOOKUP(B622,S!$A:$D,2,FALSE)</f>
        <v>GUINCHO ELÉTRICO DE COLUNA, CAPACIDADE 400 KG, COM MOTO FREIO, MOTOR TRIFÁSICO DE 1,25 CV - MANUTENÇÃO. AF_03/2016</v>
      </c>
      <c r="D622" s="91"/>
      <c r="E622" s="91"/>
      <c r="F622" s="92"/>
      <c r="G622" s="6" t="str">
        <f>VLOOKUP(B622,S!$A:$D,3,FALSE)</f>
        <v>H</v>
      </c>
      <c r="H622" s="21"/>
      <c r="I622" s="21">
        <f>J624</f>
        <v>0.28000000000000003</v>
      </c>
      <c r="J622" s="76"/>
      <c r="K622" s="72"/>
      <c r="L622" s="21">
        <f>VLOOKUP(B622,S!$A:$D,4,FALSE)</f>
        <v>0.28000000000000003</v>
      </c>
      <c r="M622" s="6" t="str">
        <f>IF(ROUND((L622-I622),2)=0,"OK, confere com a tabela.",IF(ROUND((L622-I622),2)&lt;0,"ACIMA ("&amp;TEXT(ROUND(I622*100/L622,4),"0,0000")&amp;" %) da tabela.","ABAIXO ("&amp;TEXT(ROUND(I622*100/L622,4),"0,0000")&amp;" %) da tabela."))</f>
        <v>OK, confere com a tabela.</v>
      </c>
    </row>
    <row r="623" spans="1:13" ht="30" customHeight="1" x14ac:dyDescent="0.25">
      <c r="A623" s="16" t="s">
        <v>306</v>
      </c>
      <c r="B623" s="20">
        <v>36487</v>
      </c>
      <c r="C623" s="77" t="str">
        <f>VLOOKUP(B623,IF(A623="COMPOSICAO",S!$A:$D,I!$A:$D),2,FALSE)</f>
        <v>GUINCHO ELETRICO DE COLUNA, CAPACIDADE 400 KG, COM MOTO FREIO, MOTOR TRIFASICO DE 1,25 CV</v>
      </c>
      <c r="D623" s="77"/>
      <c r="E623" s="77"/>
      <c r="F623" s="77"/>
      <c r="G623" s="16" t="str">
        <f>VLOOKUP(B623,IF(A623="COMPOSICAO",S!$A:$D,I!$A:$D),3,FALSE)</f>
        <v>UN</v>
      </c>
      <c r="H623" s="33">
        <v>6.0000000000000002E-5</v>
      </c>
      <c r="I623" s="17">
        <f>IF(A623="COMPOSICAO",VLOOKUP("TOTAL - "&amp;B623,COMPOSICAO_AUX_3!$A:$J,10,FALSE),VLOOKUP(B623,I!$A:$D,4,FALSE))</f>
        <v>4768.16</v>
      </c>
      <c r="J623" s="80">
        <f>TRUNC(H623*I623,2)</f>
        <v>0.28000000000000003</v>
      </c>
      <c r="K623" s="81"/>
    </row>
    <row r="624" spans="1:13" ht="15" customHeight="1" x14ac:dyDescent="0.25">
      <c r="A624" s="23" t="s">
        <v>791</v>
      </c>
      <c r="B624" s="24"/>
      <c r="C624" s="24"/>
      <c r="D624" s="24"/>
      <c r="E624" s="24"/>
      <c r="F624" s="24"/>
      <c r="G624" s="25"/>
      <c r="H624" s="26"/>
      <c r="I624" s="27"/>
      <c r="J624" s="80">
        <f>SUM(J622:K623)</f>
        <v>0.28000000000000003</v>
      </c>
      <c r="K624" s="81"/>
    </row>
    <row r="625" spans="1:13" ht="15" customHeight="1" x14ac:dyDescent="0.25">
      <c r="A625" s="3"/>
      <c r="B625" s="3"/>
      <c r="C625" s="3"/>
      <c r="D625" s="3"/>
      <c r="E625" s="3"/>
      <c r="F625" s="3"/>
      <c r="G625" s="3"/>
      <c r="H625" s="3"/>
      <c r="I625" s="3"/>
      <c r="J625" s="3"/>
      <c r="K625" s="3"/>
    </row>
    <row r="626" spans="1:13" ht="15" customHeight="1" x14ac:dyDescent="0.25">
      <c r="A626" s="10" t="s">
        <v>295</v>
      </c>
      <c r="B626" s="10" t="s">
        <v>31</v>
      </c>
      <c r="C626" s="82" t="s">
        <v>7</v>
      </c>
      <c r="D626" s="83"/>
      <c r="E626" s="83"/>
      <c r="F626" s="83"/>
      <c r="G626" s="6" t="s">
        <v>32</v>
      </c>
      <c r="H626" s="6" t="s">
        <v>296</v>
      </c>
      <c r="I626" s="6" t="s">
        <v>297</v>
      </c>
      <c r="J626" s="57" t="s">
        <v>9</v>
      </c>
      <c r="K626" s="58"/>
    </row>
    <row r="627" spans="1:13" ht="45" customHeight="1" x14ac:dyDescent="0.25">
      <c r="A627" s="6" t="s">
        <v>572</v>
      </c>
      <c r="B627" s="28">
        <v>93280</v>
      </c>
      <c r="C627" s="91" t="str">
        <f>VLOOKUP(B627,S!$A:$D,2,FALSE)</f>
        <v>GUINCHO ELÉTRICO DE COLUNA, CAPACIDADE 400 KG, COM MOTO FREIO, MOTOR TRIFÁSICO DE 1,25 CV - MATERIAIS NA OPERAÇÃO. AF_03/2016</v>
      </c>
      <c r="D627" s="91"/>
      <c r="E627" s="91"/>
      <c r="F627" s="92"/>
      <c r="G627" s="6" t="str">
        <f>VLOOKUP(B627,S!$A:$D,3,FALSE)</f>
        <v>H</v>
      </c>
      <c r="H627" s="21"/>
      <c r="I627" s="21">
        <f>J629</f>
        <v>0.59</v>
      </c>
      <c r="J627" s="76"/>
      <c r="K627" s="72"/>
      <c r="L627" s="21">
        <f>VLOOKUP(B627,S!$A:$D,4,FALSE)</f>
        <v>0.59</v>
      </c>
      <c r="M627" s="6" t="str">
        <f>IF(ROUND((L627-I627),2)=0,"OK, confere com a tabela.",IF(ROUND((L627-I627),2)&lt;0,"ACIMA ("&amp;TEXT(ROUND(I627*100/L627,4),"0,0000")&amp;" %) da tabela.","ABAIXO ("&amp;TEXT(ROUND(I627*100/L627,4),"0,0000")&amp;" %) da tabela."))</f>
        <v>OK, confere com a tabela.</v>
      </c>
    </row>
    <row r="628" spans="1:13" ht="30" customHeight="1" x14ac:dyDescent="0.25">
      <c r="A628" s="16" t="s">
        <v>306</v>
      </c>
      <c r="B628" s="20">
        <v>2705</v>
      </c>
      <c r="C628" s="77" t="str">
        <f>VLOOKUP(B628,IF(A628="COMPOSICAO",S!$A:$D,I!$A:$D),2,FALSE)</f>
        <v>ENERGIA ELETRICA ATE 2000 KWH INDUSTRIAL, SEM DEMANDA</v>
      </c>
      <c r="D628" s="77"/>
      <c r="E628" s="77"/>
      <c r="F628" s="77"/>
      <c r="G628" s="16" t="str">
        <f>VLOOKUP(B628,IF(A628="COMPOSICAO",S!$A:$D,I!$A:$D),3,FALSE)</f>
        <v>KW/H</v>
      </c>
      <c r="H628" s="17">
        <v>0.78</v>
      </c>
      <c r="I628" s="17">
        <f>IF(A628="COMPOSICAO",VLOOKUP("TOTAL - "&amp;B628,COMPOSICAO_AUX_3!$A:$J,10,FALSE),VLOOKUP(B628,I!$A:$D,4,FALSE))</f>
        <v>0.76</v>
      </c>
      <c r="J628" s="80">
        <f>TRUNC(H628*I628,2)</f>
        <v>0.59</v>
      </c>
      <c r="K628" s="81"/>
    </row>
    <row r="629" spans="1:13" ht="15" customHeight="1" x14ac:dyDescent="0.25">
      <c r="A629" s="23" t="s">
        <v>792</v>
      </c>
      <c r="B629" s="24"/>
      <c r="C629" s="24"/>
      <c r="D629" s="24"/>
      <c r="E629" s="24"/>
      <c r="F629" s="24"/>
      <c r="G629" s="25"/>
      <c r="H629" s="26"/>
      <c r="I629" s="27"/>
      <c r="J629" s="80">
        <f>SUM(J627:K628)</f>
        <v>0.59</v>
      </c>
      <c r="K629" s="81"/>
    </row>
    <row r="630" spans="1:13" ht="15" customHeight="1" x14ac:dyDescent="0.25">
      <c r="A630" s="3"/>
      <c r="B630" s="3"/>
      <c r="C630" s="3"/>
      <c r="D630" s="3"/>
      <c r="E630" s="3"/>
      <c r="F630" s="3"/>
      <c r="G630" s="3"/>
      <c r="H630" s="3"/>
      <c r="I630" s="3"/>
      <c r="J630" s="3"/>
      <c r="K630" s="3"/>
    </row>
    <row r="631" spans="1:13" ht="15" customHeight="1" x14ac:dyDescent="0.25">
      <c r="A631" s="10" t="s">
        <v>295</v>
      </c>
      <c r="B631" s="10" t="s">
        <v>31</v>
      </c>
      <c r="C631" s="82" t="s">
        <v>7</v>
      </c>
      <c r="D631" s="83"/>
      <c r="E631" s="83"/>
      <c r="F631" s="83"/>
      <c r="G631" s="6" t="s">
        <v>32</v>
      </c>
      <c r="H631" s="6" t="s">
        <v>296</v>
      </c>
      <c r="I631" s="6" t="s">
        <v>297</v>
      </c>
      <c r="J631" s="57" t="s">
        <v>9</v>
      </c>
      <c r="K631" s="58"/>
    </row>
    <row r="632" spans="1:13" ht="30" customHeight="1" x14ac:dyDescent="0.25">
      <c r="A632" s="6" t="s">
        <v>502</v>
      </c>
      <c r="B632" s="28">
        <v>95385</v>
      </c>
      <c r="C632" s="91" t="str">
        <f>VLOOKUP(B632,S!$A:$D,2,FALSE)</f>
        <v>CURSO DE CAPACITAÇÃO PARA TELHADISTA (ENCARGOS COMPLEMENTARES) - HORISTA</v>
      </c>
      <c r="D632" s="91"/>
      <c r="E632" s="91"/>
      <c r="F632" s="92"/>
      <c r="G632" s="6" t="str">
        <f>VLOOKUP(B632,S!$A:$D,3,FALSE)</f>
        <v>H</v>
      </c>
      <c r="H632" s="21"/>
      <c r="I632" s="21">
        <f>J634</f>
        <v>0.14000000000000001</v>
      </c>
      <c r="J632" s="76"/>
      <c r="K632" s="72"/>
      <c r="L632" s="21">
        <f>VLOOKUP(B632,S!$A:$D,4,FALSE)</f>
        <v>0.14000000000000001</v>
      </c>
      <c r="M632" s="6" t="str">
        <f>IF(ROUND((L632-I632),2)=0,"OK, confere com a tabela.",IF(ROUND((L632-I632),2)&lt;0,"ACIMA ("&amp;TEXT(ROUND(I632*100/L632,4),"0,0000")&amp;" %) da tabela.","ABAIXO ("&amp;TEXT(ROUND(I632*100/L632,4),"0,0000")&amp;" %) da tabela."))</f>
        <v>OK, confere com a tabela.</v>
      </c>
    </row>
    <row r="633" spans="1:13" ht="15" customHeight="1" x14ac:dyDescent="0.25">
      <c r="A633" s="16" t="s">
        <v>306</v>
      </c>
      <c r="B633" s="20">
        <v>12869</v>
      </c>
      <c r="C633" s="77" t="str">
        <f>VLOOKUP(B633,IF(A633="COMPOSICAO",S!$A:$D,I!$A:$D),2,FALSE)</f>
        <v>TELHADOR</v>
      </c>
      <c r="D633" s="77"/>
      <c r="E633" s="77"/>
      <c r="F633" s="77"/>
      <c r="G633" s="16" t="str">
        <f>VLOOKUP(B633,IF(A633="COMPOSICAO",S!$A:$D,I!$A:$D),3,FALSE)</f>
        <v>H</v>
      </c>
      <c r="H633" s="29">
        <v>8.2000000000000007E-3</v>
      </c>
      <c r="I633" s="17">
        <f>IF(A633="COMPOSICAO",VLOOKUP("TOTAL - "&amp;B633,COMPOSICAO_AUX_3!$A:$J,10,FALSE),VLOOKUP(B633,I!$A:$D,4,FALSE))</f>
        <v>17.82</v>
      </c>
      <c r="J633" s="80">
        <f>TRUNC(H633*I633,2)</f>
        <v>0.14000000000000001</v>
      </c>
      <c r="K633" s="81"/>
    </row>
    <row r="634" spans="1:13" ht="15" customHeight="1" x14ac:dyDescent="0.25">
      <c r="A634" s="23" t="s">
        <v>793</v>
      </c>
      <c r="B634" s="24"/>
      <c r="C634" s="24"/>
      <c r="D634" s="24"/>
      <c r="E634" s="24"/>
      <c r="F634" s="24"/>
      <c r="G634" s="25"/>
      <c r="H634" s="26"/>
      <c r="I634" s="27"/>
      <c r="J634" s="80">
        <f>SUM(J632:K633)</f>
        <v>0.14000000000000001</v>
      </c>
      <c r="K634" s="81"/>
    </row>
    <row r="635" spans="1:13" ht="15" customHeight="1" x14ac:dyDescent="0.25">
      <c r="A635" s="3"/>
      <c r="B635" s="3"/>
      <c r="C635" s="3"/>
      <c r="D635" s="3"/>
      <c r="E635" s="3"/>
      <c r="F635" s="3"/>
      <c r="G635" s="3"/>
      <c r="H635" s="3"/>
      <c r="I635" s="3"/>
      <c r="J635" s="3"/>
      <c r="K635" s="3"/>
    </row>
    <row r="636" spans="1:13" ht="15" customHeight="1" x14ac:dyDescent="0.25">
      <c r="A636" s="10" t="s">
        <v>295</v>
      </c>
      <c r="B636" s="10" t="s">
        <v>31</v>
      </c>
      <c r="C636" s="82" t="s">
        <v>7</v>
      </c>
      <c r="D636" s="83"/>
      <c r="E636" s="83"/>
      <c r="F636" s="83"/>
      <c r="G636" s="6" t="s">
        <v>32</v>
      </c>
      <c r="H636" s="6" t="s">
        <v>296</v>
      </c>
      <c r="I636" s="6" t="s">
        <v>297</v>
      </c>
      <c r="J636" s="57" t="s">
        <v>9</v>
      </c>
      <c r="K636" s="58"/>
    </row>
    <row r="637" spans="1:13" ht="30" customHeight="1" x14ac:dyDescent="0.25">
      <c r="A637" s="6" t="s">
        <v>502</v>
      </c>
      <c r="B637" s="28">
        <v>95324</v>
      </c>
      <c r="C637" s="91" t="str">
        <f>VLOOKUP(B637,S!$A:$D,2,FALSE)</f>
        <v>CURSO DE CAPACITAÇÃO PARA AZULEJISTA OU LADRILHISTA (ENCARGOS COMPLEMENTARES) - HORISTA</v>
      </c>
      <c r="D637" s="91"/>
      <c r="E637" s="91"/>
      <c r="F637" s="92"/>
      <c r="G637" s="6" t="str">
        <f>VLOOKUP(B637,S!$A:$D,3,FALSE)</f>
        <v>H</v>
      </c>
      <c r="H637" s="21"/>
      <c r="I637" s="21">
        <f>J639</f>
        <v>0.19</v>
      </c>
      <c r="J637" s="76"/>
      <c r="K637" s="72"/>
      <c r="L637" s="21">
        <f>VLOOKUP(B637,S!$A:$D,4,FALSE)</f>
        <v>0.19</v>
      </c>
      <c r="M637" s="6" t="str">
        <f>IF(ROUND((L637-I637),2)=0,"OK, confere com a tabela.",IF(ROUND((L637-I637),2)&lt;0,"ACIMA ("&amp;TEXT(ROUND(I637*100/L637,4),"0,0000")&amp;" %) da tabela.","ABAIXO ("&amp;TEXT(ROUND(I637*100/L637,4),"0,0000")&amp;" %) da tabela."))</f>
        <v>OK, confere com a tabela.</v>
      </c>
    </row>
    <row r="638" spans="1:13" ht="15" customHeight="1" x14ac:dyDescent="0.25">
      <c r="A638" s="16" t="s">
        <v>306</v>
      </c>
      <c r="B638" s="20">
        <v>4760</v>
      </c>
      <c r="C638" s="77" t="str">
        <f>VLOOKUP(B638,IF(A638="COMPOSICAO",S!$A:$D,I!$A:$D),2,FALSE)</f>
        <v>AZULEJISTA OU LADRILHEIRO</v>
      </c>
      <c r="D638" s="77"/>
      <c r="E638" s="77"/>
      <c r="F638" s="77"/>
      <c r="G638" s="16" t="str">
        <f>VLOOKUP(B638,IF(A638="COMPOSICAO",S!$A:$D,I!$A:$D),3,FALSE)</f>
        <v>H</v>
      </c>
      <c r="H638" s="29">
        <v>1.0500000000000001E-2</v>
      </c>
      <c r="I638" s="17">
        <f>IF(A638="COMPOSICAO",VLOOKUP("TOTAL - "&amp;B638,COMPOSICAO_AUX_3!$A:$J,10,FALSE),VLOOKUP(B638,I!$A:$D,4,FALSE))</f>
        <v>18.37</v>
      </c>
      <c r="J638" s="80">
        <f>TRUNC(H638*I638,2)</f>
        <v>0.19</v>
      </c>
      <c r="K638" s="81"/>
    </row>
    <row r="639" spans="1:13" ht="15" customHeight="1" x14ac:dyDescent="0.25">
      <c r="A639" s="23" t="s">
        <v>794</v>
      </c>
      <c r="B639" s="24"/>
      <c r="C639" s="24"/>
      <c r="D639" s="24"/>
      <c r="E639" s="24"/>
      <c r="F639" s="24"/>
      <c r="G639" s="25"/>
      <c r="H639" s="26"/>
      <c r="I639" s="27"/>
      <c r="J639" s="80">
        <f>SUM(J637:K638)</f>
        <v>0.19</v>
      </c>
      <c r="K639" s="81"/>
    </row>
    <row r="640" spans="1:13" ht="15" customHeight="1" x14ac:dyDescent="0.25">
      <c r="A640" s="3"/>
      <c r="B640" s="3"/>
      <c r="C640" s="3"/>
      <c r="D640" s="3"/>
      <c r="E640" s="3"/>
      <c r="F640" s="3"/>
      <c r="G640" s="3"/>
      <c r="H640" s="3"/>
      <c r="I640" s="3"/>
      <c r="J640" s="3"/>
      <c r="K640" s="3"/>
    </row>
    <row r="641" spans="1:13" ht="15" customHeight="1" x14ac:dyDescent="0.25">
      <c r="A641" s="10" t="s">
        <v>295</v>
      </c>
      <c r="B641" s="10" t="s">
        <v>31</v>
      </c>
      <c r="C641" s="82" t="s">
        <v>7</v>
      </c>
      <c r="D641" s="83"/>
      <c r="E641" s="83"/>
      <c r="F641" s="83"/>
      <c r="G641" s="6" t="s">
        <v>32</v>
      </c>
      <c r="H641" s="6" t="s">
        <v>296</v>
      </c>
      <c r="I641" s="6" t="s">
        <v>297</v>
      </c>
      <c r="J641" s="57" t="s">
        <v>9</v>
      </c>
      <c r="K641" s="58"/>
    </row>
    <row r="642" spans="1:13" ht="30" customHeight="1" x14ac:dyDescent="0.25">
      <c r="A642" s="6" t="s">
        <v>502</v>
      </c>
      <c r="B642" s="28">
        <v>88256</v>
      </c>
      <c r="C642" s="91" t="str">
        <f>VLOOKUP(B642,S!$A:$D,2,FALSE)</f>
        <v>AZULEJISTA OU LADRILHISTA COM ENCARGOS COMPLEMENTARES</v>
      </c>
      <c r="D642" s="91"/>
      <c r="E642" s="91"/>
      <c r="F642" s="92"/>
      <c r="G642" s="6" t="str">
        <f>VLOOKUP(B642,S!$A:$D,3,FALSE)</f>
        <v>H</v>
      </c>
      <c r="H642" s="21"/>
      <c r="I642" s="21">
        <f>J651</f>
        <v>23.259999999999998</v>
      </c>
      <c r="J642" s="76"/>
      <c r="K642" s="72"/>
      <c r="L642" s="21">
        <f>VLOOKUP(B642,S!$A:$D,4,FALSE)</f>
        <v>23.26</v>
      </c>
      <c r="M642" s="6" t="str">
        <f>IF(ROUND((L642-I642),2)=0,"OK, confere com a tabela.",IF(ROUND((L642-I642),2)&lt;0,"ACIMA ("&amp;TEXT(ROUND(I642*100/L642,4),"0,0000")&amp;" %) da tabela.","ABAIXO ("&amp;TEXT(ROUND(I642*100/L642,4),"0,0000")&amp;" %) da tabela."))</f>
        <v>OK, confere com a tabela.</v>
      </c>
    </row>
    <row r="643" spans="1:13" ht="15" customHeight="1" x14ac:dyDescent="0.25">
      <c r="A643" s="16" t="s">
        <v>306</v>
      </c>
      <c r="B643" s="20">
        <v>4760</v>
      </c>
      <c r="C643" s="77" t="str">
        <f>VLOOKUP(B643,IF(A643="COMPOSICAO",S!$A:$D,I!$A:$D),2,FALSE)</f>
        <v>AZULEJISTA OU LADRILHEIRO</v>
      </c>
      <c r="D643" s="77"/>
      <c r="E643" s="77"/>
      <c r="F643" s="77"/>
      <c r="G643" s="16" t="str">
        <f>VLOOKUP(B643,IF(A643="COMPOSICAO",S!$A:$D,I!$A:$D),3,FALSE)</f>
        <v>H</v>
      </c>
      <c r="H643" s="17">
        <v>1</v>
      </c>
      <c r="I643" s="17">
        <f>IF(A643="COMPOSICAO",VLOOKUP("TOTAL - "&amp;B643,COMPOSICAO_AUX_3!$A:$J,10,FALSE),VLOOKUP(B643,I!$A:$D,4,FALSE))</f>
        <v>18.37</v>
      </c>
      <c r="J643" s="80">
        <f t="shared" ref="J643:J650" si="23">TRUNC(H643*I643,2)</f>
        <v>18.37</v>
      </c>
      <c r="K643" s="81"/>
    </row>
    <row r="644" spans="1:13" ht="15" customHeight="1" x14ac:dyDescent="0.25">
      <c r="A644" s="16" t="s">
        <v>306</v>
      </c>
      <c r="B644" s="20">
        <v>37370</v>
      </c>
      <c r="C644" s="77" t="str">
        <f>VLOOKUP(B644,IF(A644="COMPOSICAO",S!$A:$D,I!$A:$D),2,FALSE)</f>
        <v>ALIMENTACAO - HORISTA (COLETADO CAIXA)</v>
      </c>
      <c r="D644" s="77"/>
      <c r="E644" s="77"/>
      <c r="F644" s="77"/>
      <c r="G644" s="16" t="str">
        <f>VLOOKUP(B644,IF(A644="COMPOSICAO",S!$A:$D,I!$A:$D),3,FALSE)</f>
        <v>H</v>
      </c>
      <c r="H644" s="17">
        <v>1</v>
      </c>
      <c r="I644" s="17">
        <f>IF(A644="COMPOSICAO",VLOOKUP("TOTAL - "&amp;B644,COMPOSICAO_AUX_3!$A:$J,10,FALSE),VLOOKUP(B644,I!$A:$D,4,FALSE))</f>
        <v>1.86</v>
      </c>
      <c r="J644" s="80">
        <f t="shared" si="23"/>
        <v>1.86</v>
      </c>
      <c r="K644" s="81"/>
    </row>
    <row r="645" spans="1:13" ht="15" customHeight="1" x14ac:dyDescent="0.25">
      <c r="A645" s="16" t="s">
        <v>306</v>
      </c>
      <c r="B645" s="20">
        <v>37371</v>
      </c>
      <c r="C645" s="77" t="str">
        <f>VLOOKUP(B645,IF(A645="COMPOSICAO",S!$A:$D,I!$A:$D),2,FALSE)</f>
        <v>TRANSPORTE - HORISTA (COLETADO CAIXA)</v>
      </c>
      <c r="D645" s="77"/>
      <c r="E645" s="77"/>
      <c r="F645" s="77"/>
      <c r="G645" s="16" t="str">
        <f>VLOOKUP(B645,IF(A645="COMPOSICAO",S!$A:$D,I!$A:$D),3,FALSE)</f>
        <v>H</v>
      </c>
      <c r="H645" s="17">
        <v>1</v>
      </c>
      <c r="I645" s="17">
        <f>IF(A645="COMPOSICAO",VLOOKUP("TOTAL - "&amp;B645,COMPOSICAO_AUX_3!$A:$J,10,FALSE),VLOOKUP(B645,I!$A:$D,4,FALSE))</f>
        <v>0.7</v>
      </c>
      <c r="J645" s="80">
        <f t="shared" si="23"/>
        <v>0.7</v>
      </c>
      <c r="K645" s="81"/>
    </row>
    <row r="646" spans="1:13" ht="15" customHeight="1" x14ac:dyDescent="0.25">
      <c r="A646" s="16" t="s">
        <v>306</v>
      </c>
      <c r="B646" s="20">
        <v>37372</v>
      </c>
      <c r="C646" s="77" t="str">
        <f>VLOOKUP(B646,IF(A646="COMPOSICAO",S!$A:$D,I!$A:$D),2,FALSE)</f>
        <v>EXAMES - HORISTA (COLETADO CAIXA)</v>
      </c>
      <c r="D646" s="77"/>
      <c r="E646" s="77"/>
      <c r="F646" s="77"/>
      <c r="G646" s="16" t="str">
        <f>VLOOKUP(B646,IF(A646="COMPOSICAO",S!$A:$D,I!$A:$D),3,FALSE)</f>
        <v>H</v>
      </c>
      <c r="H646" s="17">
        <v>1</v>
      </c>
      <c r="I646" s="17">
        <f>IF(A646="COMPOSICAO",VLOOKUP("TOTAL - "&amp;B646,COMPOSICAO_AUX_3!$A:$J,10,FALSE),VLOOKUP(B646,I!$A:$D,4,FALSE))</f>
        <v>0.55000000000000004</v>
      </c>
      <c r="J646" s="80">
        <f t="shared" si="23"/>
        <v>0.55000000000000004</v>
      </c>
      <c r="K646" s="81"/>
    </row>
    <row r="647" spans="1:13" ht="15" customHeight="1" x14ac:dyDescent="0.25">
      <c r="A647" s="16" t="s">
        <v>306</v>
      </c>
      <c r="B647" s="20">
        <v>37373</v>
      </c>
      <c r="C647" s="77" t="str">
        <f>VLOOKUP(B647,IF(A647="COMPOSICAO",S!$A:$D,I!$A:$D),2,FALSE)</f>
        <v>SEGURO - HORISTA (COLETADO CAIXA)</v>
      </c>
      <c r="D647" s="77"/>
      <c r="E647" s="77"/>
      <c r="F647" s="77"/>
      <c r="G647" s="16" t="str">
        <f>VLOOKUP(B647,IF(A647="COMPOSICAO",S!$A:$D,I!$A:$D),3,FALSE)</f>
        <v>H</v>
      </c>
      <c r="H647" s="17">
        <v>1</v>
      </c>
      <c r="I647" s="17">
        <f>IF(A647="COMPOSICAO",VLOOKUP("TOTAL - "&amp;B647,COMPOSICAO_AUX_3!$A:$J,10,FALSE),VLOOKUP(B647,I!$A:$D,4,FALSE))</f>
        <v>0.06</v>
      </c>
      <c r="J647" s="80">
        <f t="shared" si="23"/>
        <v>0.06</v>
      </c>
      <c r="K647" s="81"/>
    </row>
    <row r="648" spans="1:13" ht="30" customHeight="1" x14ac:dyDescent="0.25">
      <c r="A648" s="16" t="s">
        <v>306</v>
      </c>
      <c r="B648" s="20">
        <v>43465</v>
      </c>
      <c r="C648" s="77" t="str">
        <f>VLOOKUP(B648,IF(A648="COMPOSICAO",S!$A:$D,I!$A:$D),2,FALSE)</f>
        <v>FERRAMENTAS - FAMILIA PEDREIRO - HORISTA (ENCARGOS COMPLEMENTARES - COLETADO CAIXA)</v>
      </c>
      <c r="D648" s="77"/>
      <c r="E648" s="77"/>
      <c r="F648" s="77"/>
      <c r="G648" s="16" t="str">
        <f>VLOOKUP(B648,IF(A648="COMPOSICAO",S!$A:$D,I!$A:$D),3,FALSE)</f>
        <v>H</v>
      </c>
      <c r="H648" s="17">
        <v>1</v>
      </c>
      <c r="I648" s="17">
        <f>IF(A648="COMPOSICAO",VLOOKUP("TOTAL - "&amp;B648,COMPOSICAO_AUX_3!$A:$J,10,FALSE),VLOOKUP(B648,I!$A:$D,4,FALSE))</f>
        <v>0.57999999999999996</v>
      </c>
      <c r="J648" s="80">
        <f t="shared" si="23"/>
        <v>0.57999999999999996</v>
      </c>
      <c r="K648" s="81"/>
    </row>
    <row r="649" spans="1:13" ht="30" customHeight="1" x14ac:dyDescent="0.25">
      <c r="A649" s="16" t="s">
        <v>306</v>
      </c>
      <c r="B649" s="20">
        <v>43489</v>
      </c>
      <c r="C649" s="77" t="str">
        <f>VLOOKUP(B649,IF(A649="COMPOSICAO",S!$A:$D,I!$A:$D),2,FALSE)</f>
        <v>EPI - FAMILIA PEDREIRO - HORISTA (ENCARGOS COMPLEMENTARES - COLETADO CAIXA)</v>
      </c>
      <c r="D649" s="77"/>
      <c r="E649" s="77"/>
      <c r="F649" s="77"/>
      <c r="G649" s="16" t="str">
        <f>VLOOKUP(B649,IF(A649="COMPOSICAO",S!$A:$D,I!$A:$D),3,FALSE)</f>
        <v>H</v>
      </c>
      <c r="H649" s="17">
        <v>1</v>
      </c>
      <c r="I649" s="17">
        <f>IF(A649="COMPOSICAO",VLOOKUP("TOTAL - "&amp;B649,COMPOSICAO_AUX_3!$A:$J,10,FALSE),VLOOKUP(B649,I!$A:$D,4,FALSE))</f>
        <v>0.95</v>
      </c>
      <c r="J649" s="80">
        <f t="shared" si="23"/>
        <v>0.95</v>
      </c>
      <c r="K649" s="81"/>
    </row>
    <row r="650" spans="1:13" ht="30" customHeight="1" x14ac:dyDescent="0.25">
      <c r="A650" s="16" t="s">
        <v>302</v>
      </c>
      <c r="B650" s="20">
        <v>95324</v>
      </c>
      <c r="C650" s="77" t="str">
        <f>VLOOKUP(B650,IF(A650="COMPOSICAO",S!$A:$D,I!$A:$D),2,FALSE)</f>
        <v>CURSO DE CAPACITAÇÃO PARA AZULEJISTA OU LADRILHISTA (ENCARGOS COMPLEMENTARES) - HORISTA</v>
      </c>
      <c r="D650" s="77"/>
      <c r="E650" s="77"/>
      <c r="F650" s="77"/>
      <c r="G650" s="16" t="str">
        <f>VLOOKUP(B650,IF(A650="COMPOSICAO",S!$A:$D,I!$A:$D),3,FALSE)</f>
        <v>H</v>
      </c>
      <c r="H650" s="17">
        <v>1</v>
      </c>
      <c r="I650" s="17">
        <f>IF(A650="COMPOSICAO",VLOOKUP("TOTAL - "&amp;B650,COMPOSICAO_AUX_3!$A:$J,10,FALSE),VLOOKUP(B650,I!$A:$D,4,FALSE))</f>
        <v>0.19</v>
      </c>
      <c r="J650" s="80">
        <f t="shared" si="23"/>
        <v>0.19</v>
      </c>
      <c r="K650" s="81"/>
    </row>
    <row r="651" spans="1:13" ht="15" customHeight="1" x14ac:dyDescent="0.25">
      <c r="A651" s="23" t="s">
        <v>611</v>
      </c>
      <c r="B651" s="24"/>
      <c r="C651" s="24"/>
      <c r="D651" s="24"/>
      <c r="E651" s="24"/>
      <c r="F651" s="24"/>
      <c r="G651" s="25"/>
      <c r="H651" s="26"/>
      <c r="I651" s="27"/>
      <c r="J651" s="80">
        <f>SUM(J642:K650)</f>
        <v>23.259999999999998</v>
      </c>
      <c r="K651" s="81"/>
    </row>
    <row r="652" spans="1:13" ht="15" customHeight="1" x14ac:dyDescent="0.25">
      <c r="A652" s="3"/>
      <c r="B652" s="3"/>
      <c r="C652" s="3"/>
      <c r="D652" s="3"/>
      <c r="E652" s="3"/>
      <c r="F652" s="3"/>
      <c r="G652" s="3"/>
      <c r="H652" s="3"/>
      <c r="I652" s="3"/>
      <c r="J652" s="3"/>
      <c r="K652" s="3"/>
    </row>
    <row r="653" spans="1:13" ht="15" customHeight="1" x14ac:dyDescent="0.25">
      <c r="A653" s="10" t="s">
        <v>295</v>
      </c>
      <c r="B653" s="10" t="s">
        <v>31</v>
      </c>
      <c r="C653" s="82" t="s">
        <v>7</v>
      </c>
      <c r="D653" s="83"/>
      <c r="E653" s="83"/>
      <c r="F653" s="83"/>
      <c r="G653" s="6" t="s">
        <v>32</v>
      </c>
      <c r="H653" s="6" t="s">
        <v>296</v>
      </c>
      <c r="I653" s="6" t="s">
        <v>297</v>
      </c>
      <c r="J653" s="57" t="s">
        <v>9</v>
      </c>
      <c r="K653" s="58"/>
    </row>
    <row r="654" spans="1:13" ht="45" customHeight="1" x14ac:dyDescent="0.25">
      <c r="A654" s="6" t="s">
        <v>502</v>
      </c>
      <c r="B654" s="28">
        <v>95344</v>
      </c>
      <c r="C654" s="91" t="str">
        <f>VLOOKUP(B654,S!$A:$D,2,FALSE)</f>
        <v>CURSO DE CAPACITAÇÃO PARA MONTADOR DE ESTRUTURA METÁLICA (ENCARGOS COMPLEMENTARES) - HORISTA</v>
      </c>
      <c r="D654" s="91"/>
      <c r="E654" s="91"/>
      <c r="F654" s="92"/>
      <c r="G654" s="6" t="str">
        <f>VLOOKUP(B654,S!$A:$D,3,FALSE)</f>
        <v>H</v>
      </c>
      <c r="H654" s="21"/>
      <c r="I654" s="21">
        <f>J656</f>
        <v>0.13</v>
      </c>
      <c r="J654" s="76"/>
      <c r="K654" s="72"/>
      <c r="L654" s="21">
        <f>VLOOKUP(B654,S!$A:$D,4,FALSE)</f>
        <v>0.13</v>
      </c>
      <c r="M654" s="6" t="str">
        <f>IF(ROUND((L654-I654),2)=0,"OK, confere com a tabela.",IF(ROUND((L654-I654),2)&lt;0,"ACIMA ("&amp;TEXT(ROUND(I654*100/L654,4),"0,0000")&amp;" %) da tabela.","ABAIXO ("&amp;TEXT(ROUND(I654*100/L654,4),"0,0000")&amp;" %) da tabela."))</f>
        <v>OK, confere com a tabela.</v>
      </c>
    </row>
    <row r="655" spans="1:13" ht="15" customHeight="1" x14ac:dyDescent="0.25">
      <c r="A655" s="16" t="s">
        <v>306</v>
      </c>
      <c r="B655" s="20">
        <v>25957</v>
      </c>
      <c r="C655" s="77" t="str">
        <f>VLOOKUP(B655,IF(A655="COMPOSICAO",S!$A:$D,I!$A:$D),2,FALSE)</f>
        <v>MONTADOR DE ESTRUTURAS METALICAS</v>
      </c>
      <c r="D655" s="77"/>
      <c r="E655" s="77"/>
      <c r="F655" s="77"/>
      <c r="G655" s="16" t="str">
        <f>VLOOKUP(B655,IF(A655="COMPOSICAO",S!$A:$D,I!$A:$D),3,FALSE)</f>
        <v>H</v>
      </c>
      <c r="H655" s="29">
        <v>8.2000000000000007E-3</v>
      </c>
      <c r="I655" s="17">
        <f>IF(A655="COMPOSICAO",VLOOKUP("TOTAL - "&amp;B655,COMPOSICAO_AUX_3!$A:$J,10,FALSE),VLOOKUP(B655,I!$A:$D,4,FALSE))</f>
        <v>16.82</v>
      </c>
      <c r="J655" s="80">
        <f>TRUNC(H655*I655,2)</f>
        <v>0.13</v>
      </c>
      <c r="K655" s="81"/>
    </row>
    <row r="656" spans="1:13" ht="15" customHeight="1" x14ac:dyDescent="0.25">
      <c r="A656" s="23" t="s">
        <v>795</v>
      </c>
      <c r="B656" s="24"/>
      <c r="C656" s="24"/>
      <c r="D656" s="24"/>
      <c r="E656" s="24"/>
      <c r="F656" s="24"/>
      <c r="G656" s="25"/>
      <c r="H656" s="26"/>
      <c r="I656" s="27"/>
      <c r="J656" s="80">
        <f>SUM(J654:K655)</f>
        <v>0.13</v>
      </c>
      <c r="K656" s="81"/>
    </row>
    <row r="657" spans="1:13" ht="15" customHeight="1" x14ac:dyDescent="0.25">
      <c r="A657" s="3"/>
      <c r="B657" s="3"/>
      <c r="C657" s="3"/>
      <c r="D657" s="3"/>
      <c r="E657" s="3"/>
      <c r="F657" s="3"/>
      <c r="G657" s="3"/>
      <c r="H657" s="3"/>
      <c r="I657" s="3"/>
      <c r="J657" s="3"/>
      <c r="K657" s="3"/>
    </row>
    <row r="658" spans="1:13" ht="15" customHeight="1" x14ac:dyDescent="0.25">
      <c r="A658" s="10" t="s">
        <v>295</v>
      </c>
      <c r="B658" s="10" t="s">
        <v>31</v>
      </c>
      <c r="C658" s="82" t="s">
        <v>7</v>
      </c>
      <c r="D658" s="83"/>
      <c r="E658" s="83"/>
      <c r="F658" s="83"/>
      <c r="G658" s="6" t="s">
        <v>32</v>
      </c>
      <c r="H658" s="6" t="s">
        <v>296</v>
      </c>
      <c r="I658" s="6" t="s">
        <v>297</v>
      </c>
      <c r="J658" s="57" t="s">
        <v>9</v>
      </c>
      <c r="K658" s="58"/>
    </row>
    <row r="659" spans="1:13" ht="30" customHeight="1" x14ac:dyDescent="0.25">
      <c r="A659" s="6" t="s">
        <v>502</v>
      </c>
      <c r="B659" s="28">
        <v>95341</v>
      </c>
      <c r="C659" s="91" t="str">
        <f>VLOOKUP(B659,S!$A:$D,2,FALSE)</f>
        <v>CURSO DE CAPACITAÇÃO PARA MARMORISTA/GRANITEIRO (ENCARGOS COMPLEMENTARES) - HORISTA</v>
      </c>
      <c r="D659" s="91"/>
      <c r="E659" s="91"/>
      <c r="F659" s="92"/>
      <c r="G659" s="6" t="str">
        <f>VLOOKUP(B659,S!$A:$D,3,FALSE)</f>
        <v>H</v>
      </c>
      <c r="H659" s="21"/>
      <c r="I659" s="21">
        <f>J661</f>
        <v>0.18</v>
      </c>
      <c r="J659" s="76"/>
      <c r="K659" s="72"/>
      <c r="L659" s="21">
        <f>VLOOKUP(B659,S!$A:$D,4,FALSE)</f>
        <v>0.18</v>
      </c>
      <c r="M659" s="6" t="str">
        <f>IF(ROUND((L659-I659),2)=0,"OK, confere com a tabela.",IF(ROUND((L659-I659),2)&lt;0,"ACIMA ("&amp;TEXT(ROUND(I659*100/L659,4),"0,0000")&amp;" %) da tabela.","ABAIXO ("&amp;TEXT(ROUND(I659*100/L659,4),"0,0000")&amp;" %) da tabela."))</f>
        <v>OK, confere com a tabela.</v>
      </c>
    </row>
    <row r="660" spans="1:13" ht="15" customHeight="1" x14ac:dyDescent="0.25">
      <c r="A660" s="16" t="s">
        <v>306</v>
      </c>
      <c r="B660" s="20">
        <v>4755</v>
      </c>
      <c r="C660" s="77" t="str">
        <f>VLOOKUP(B660,IF(A660="COMPOSICAO",S!$A:$D,I!$A:$D),2,FALSE)</f>
        <v>MARMORISTA / GRANITEIRO</v>
      </c>
      <c r="D660" s="77"/>
      <c r="E660" s="77"/>
      <c r="F660" s="77"/>
      <c r="G660" s="16" t="str">
        <f>VLOOKUP(B660,IF(A660="COMPOSICAO",S!$A:$D,I!$A:$D),3,FALSE)</f>
        <v>H</v>
      </c>
      <c r="H660" s="29">
        <v>1.0500000000000001E-2</v>
      </c>
      <c r="I660" s="17">
        <f>IF(A660="COMPOSICAO",VLOOKUP("TOTAL - "&amp;B660,COMPOSICAO_AUX_3!$A:$J,10,FALSE),VLOOKUP(B660,I!$A:$D,4,FALSE))</f>
        <v>17.18</v>
      </c>
      <c r="J660" s="80">
        <f>TRUNC(H660*I660,2)</f>
        <v>0.18</v>
      </c>
      <c r="K660" s="81"/>
    </row>
    <row r="661" spans="1:13" ht="15" customHeight="1" x14ac:dyDescent="0.25">
      <c r="A661" s="23" t="s">
        <v>796</v>
      </c>
      <c r="B661" s="24"/>
      <c r="C661" s="24"/>
      <c r="D661" s="24"/>
      <c r="E661" s="24"/>
      <c r="F661" s="24"/>
      <c r="G661" s="25"/>
      <c r="H661" s="26"/>
      <c r="I661" s="27"/>
      <c r="J661" s="80">
        <f>SUM(J659:K660)</f>
        <v>0.18</v>
      </c>
      <c r="K661" s="81"/>
    </row>
    <row r="662" spans="1:13" ht="15" customHeight="1" x14ac:dyDescent="0.25">
      <c r="A662" s="3"/>
      <c r="B662" s="3"/>
      <c r="C662" s="3"/>
      <c r="D662" s="3"/>
      <c r="E662" s="3"/>
      <c r="F662" s="3"/>
      <c r="G662" s="3"/>
      <c r="H662" s="3"/>
      <c r="I662" s="3"/>
      <c r="J662" s="3"/>
      <c r="K662" s="3"/>
    </row>
    <row r="663" spans="1:13" ht="15" customHeight="1" x14ac:dyDescent="0.25">
      <c r="A663" s="10" t="s">
        <v>295</v>
      </c>
      <c r="B663" s="10" t="s">
        <v>31</v>
      </c>
      <c r="C663" s="82" t="s">
        <v>7</v>
      </c>
      <c r="D663" s="83"/>
      <c r="E663" s="83"/>
      <c r="F663" s="83"/>
      <c r="G663" s="6" t="s">
        <v>32</v>
      </c>
      <c r="H663" s="6" t="s">
        <v>296</v>
      </c>
      <c r="I663" s="6" t="s">
        <v>297</v>
      </c>
      <c r="J663" s="57" t="s">
        <v>9</v>
      </c>
      <c r="K663" s="58"/>
    </row>
    <row r="664" spans="1:13" ht="30" customHeight="1" x14ac:dyDescent="0.25">
      <c r="A664" s="6" t="s">
        <v>502</v>
      </c>
      <c r="B664" s="28">
        <v>95372</v>
      </c>
      <c r="C664" s="91" t="str">
        <f>VLOOKUP(B664,S!$A:$D,2,FALSE)</f>
        <v>CURSO DE CAPACITAÇÃO PARA PINTOR (ENCARGOS COMPLEMENTARES) - HORISTA</v>
      </c>
      <c r="D664" s="91"/>
      <c r="E664" s="91"/>
      <c r="F664" s="92"/>
      <c r="G664" s="6" t="str">
        <f>VLOOKUP(B664,S!$A:$D,3,FALSE)</f>
        <v>H</v>
      </c>
      <c r="H664" s="21"/>
      <c r="I664" s="21">
        <f>J666</f>
        <v>0.15</v>
      </c>
      <c r="J664" s="76"/>
      <c r="K664" s="72"/>
      <c r="L664" s="21">
        <f>VLOOKUP(B664,S!$A:$D,4,FALSE)</f>
        <v>0.15</v>
      </c>
      <c r="M664" s="6" t="str">
        <f>IF(ROUND((L664-I664),2)=0,"OK, confere com a tabela.",IF(ROUND((L664-I664),2)&lt;0,"ACIMA ("&amp;TEXT(ROUND(I664*100/L664,4),"0,0000")&amp;" %) da tabela.","ABAIXO ("&amp;TEXT(ROUND(I664*100/L664,4),"0,0000")&amp;" %) da tabela."))</f>
        <v>OK, confere com a tabela.</v>
      </c>
    </row>
    <row r="665" spans="1:13" ht="15" customHeight="1" x14ac:dyDescent="0.25">
      <c r="A665" s="16" t="s">
        <v>306</v>
      </c>
      <c r="B665" s="20">
        <v>4783</v>
      </c>
      <c r="C665" s="77" t="str">
        <f>VLOOKUP(B665,IF(A665="COMPOSICAO",S!$A:$D,I!$A:$D),2,FALSE)</f>
        <v>PINTOR</v>
      </c>
      <c r="D665" s="77"/>
      <c r="E665" s="77"/>
      <c r="F665" s="77"/>
      <c r="G665" s="16" t="str">
        <f>VLOOKUP(B665,IF(A665="COMPOSICAO",S!$A:$D,I!$A:$D),3,FALSE)</f>
        <v>H</v>
      </c>
      <c r="H665" s="29">
        <v>1.0500000000000001E-2</v>
      </c>
      <c r="I665" s="17">
        <f>IF(A665="COMPOSICAO",VLOOKUP("TOTAL - "&amp;B665,COMPOSICAO_AUX_3!$A:$J,10,FALSE),VLOOKUP(B665,I!$A:$D,4,FALSE))</f>
        <v>14.93</v>
      </c>
      <c r="J665" s="80">
        <f>TRUNC(H665*I665,2)</f>
        <v>0.15</v>
      </c>
      <c r="K665" s="81"/>
    </row>
    <row r="666" spans="1:13" ht="15" customHeight="1" x14ac:dyDescent="0.25">
      <c r="A666" s="23" t="s">
        <v>797</v>
      </c>
      <c r="B666" s="24"/>
      <c r="C666" s="24"/>
      <c r="D666" s="24"/>
      <c r="E666" s="24"/>
      <c r="F666" s="24"/>
      <c r="G666" s="25"/>
      <c r="H666" s="26"/>
      <c r="I666" s="27"/>
      <c r="J666" s="80">
        <f>SUM(J664:K665)</f>
        <v>0.15</v>
      </c>
      <c r="K666" s="81"/>
    </row>
    <row r="667" spans="1:13" ht="15" customHeight="1" x14ac:dyDescent="0.25">
      <c r="A667" s="3"/>
      <c r="B667" s="3"/>
      <c r="C667" s="3"/>
      <c r="D667" s="3"/>
      <c r="E667" s="3"/>
      <c r="F667" s="3"/>
      <c r="G667" s="3"/>
      <c r="H667" s="3"/>
      <c r="I667" s="3"/>
      <c r="J667" s="3"/>
      <c r="K667" s="3"/>
    </row>
    <row r="668" spans="1:13" ht="15" customHeight="1" x14ac:dyDescent="0.25">
      <c r="A668" s="10" t="s">
        <v>295</v>
      </c>
      <c r="B668" s="10" t="s">
        <v>31</v>
      </c>
      <c r="C668" s="82" t="s">
        <v>7</v>
      </c>
      <c r="D668" s="83"/>
      <c r="E668" s="83"/>
      <c r="F668" s="83"/>
      <c r="G668" s="6" t="s">
        <v>32</v>
      </c>
      <c r="H668" s="6" t="s">
        <v>296</v>
      </c>
      <c r="I668" s="6" t="s">
        <v>297</v>
      </c>
      <c r="J668" s="57" t="s">
        <v>9</v>
      </c>
      <c r="K668" s="58"/>
    </row>
    <row r="669" spans="1:13" ht="30" customHeight="1" x14ac:dyDescent="0.25">
      <c r="A669" s="6" t="s">
        <v>502</v>
      </c>
      <c r="B669" s="28">
        <v>88248</v>
      </c>
      <c r="C669" s="91" t="str">
        <f>VLOOKUP(B669,S!$A:$D,2,FALSE)</f>
        <v>AUXILIAR DE ENCANADOR OU BOMBEIRO HIDRÁULICO COM ENCARGOS COMPLEMENTARES</v>
      </c>
      <c r="D669" s="91"/>
      <c r="E669" s="91"/>
      <c r="F669" s="92"/>
      <c r="G669" s="6" t="str">
        <f>VLOOKUP(B669,S!$A:$D,3,FALSE)</f>
        <v>H</v>
      </c>
      <c r="H669" s="21"/>
      <c r="I669" s="21">
        <f>J678</f>
        <v>14.96</v>
      </c>
      <c r="J669" s="76"/>
      <c r="K669" s="72"/>
      <c r="L669" s="21">
        <f>VLOOKUP(B669,S!$A:$D,4,FALSE)</f>
        <v>14.96</v>
      </c>
      <c r="M669" s="6" t="str">
        <f>IF(ROUND((L669-I669),2)=0,"OK, confere com a tabela.",IF(ROUND((L669-I669),2)&lt;0,"ACIMA ("&amp;TEXT(ROUND(I669*100/L669,4),"0,0000")&amp;" %) da tabela.","ABAIXO ("&amp;TEXT(ROUND(I669*100/L669,4),"0,0000")&amp;" %) da tabela."))</f>
        <v>OK, confere com a tabela.</v>
      </c>
    </row>
    <row r="670" spans="1:13" ht="15" customHeight="1" x14ac:dyDescent="0.25">
      <c r="A670" s="16" t="s">
        <v>306</v>
      </c>
      <c r="B670" s="20">
        <v>246</v>
      </c>
      <c r="C670" s="77" t="str">
        <f>VLOOKUP(B670,IF(A670="COMPOSICAO",S!$A:$D,I!$A:$D),2,FALSE)</f>
        <v>AUXILIAR DE ENCANADOR OU BOMBEIRO HIDRAULICO</v>
      </c>
      <c r="D670" s="77"/>
      <c r="E670" s="77"/>
      <c r="F670" s="77"/>
      <c r="G670" s="16" t="str">
        <f>VLOOKUP(B670,IF(A670="COMPOSICAO",S!$A:$D,I!$A:$D),3,FALSE)</f>
        <v>H</v>
      </c>
      <c r="H670" s="17">
        <v>1</v>
      </c>
      <c r="I670" s="17">
        <f>IF(A670="COMPOSICAO",VLOOKUP("TOTAL - "&amp;B670,COMPOSICAO_AUX_3!$A:$J,10,FALSE),VLOOKUP(B670,I!$A:$D,4,FALSE))</f>
        <v>10.58</v>
      </c>
      <c r="J670" s="80">
        <f t="shared" ref="J670:J677" si="24">TRUNC(H670*I670,2)</f>
        <v>10.58</v>
      </c>
      <c r="K670" s="81"/>
    </row>
    <row r="671" spans="1:13" ht="15" customHeight="1" x14ac:dyDescent="0.25">
      <c r="A671" s="16" t="s">
        <v>306</v>
      </c>
      <c r="B671" s="20">
        <v>37370</v>
      </c>
      <c r="C671" s="77" t="str">
        <f>VLOOKUP(B671,IF(A671="COMPOSICAO",S!$A:$D,I!$A:$D),2,FALSE)</f>
        <v>ALIMENTACAO - HORISTA (COLETADO CAIXA)</v>
      </c>
      <c r="D671" s="77"/>
      <c r="E671" s="77"/>
      <c r="F671" s="77"/>
      <c r="G671" s="16" t="str">
        <f>VLOOKUP(B671,IF(A671="COMPOSICAO",S!$A:$D,I!$A:$D),3,FALSE)</f>
        <v>H</v>
      </c>
      <c r="H671" s="17">
        <v>1</v>
      </c>
      <c r="I671" s="17">
        <f>IF(A671="COMPOSICAO",VLOOKUP("TOTAL - "&amp;B671,COMPOSICAO_AUX_3!$A:$J,10,FALSE),VLOOKUP(B671,I!$A:$D,4,FALSE))</f>
        <v>1.86</v>
      </c>
      <c r="J671" s="80">
        <f t="shared" si="24"/>
        <v>1.86</v>
      </c>
      <c r="K671" s="81"/>
    </row>
    <row r="672" spans="1:13" ht="15" customHeight="1" x14ac:dyDescent="0.25">
      <c r="A672" s="16" t="s">
        <v>306</v>
      </c>
      <c r="B672" s="20">
        <v>37371</v>
      </c>
      <c r="C672" s="77" t="str">
        <f>VLOOKUP(B672,IF(A672="COMPOSICAO",S!$A:$D,I!$A:$D),2,FALSE)</f>
        <v>TRANSPORTE - HORISTA (COLETADO CAIXA)</v>
      </c>
      <c r="D672" s="77"/>
      <c r="E672" s="77"/>
      <c r="F672" s="77"/>
      <c r="G672" s="16" t="str">
        <f>VLOOKUP(B672,IF(A672="COMPOSICAO",S!$A:$D,I!$A:$D),3,FALSE)</f>
        <v>H</v>
      </c>
      <c r="H672" s="17">
        <v>1</v>
      </c>
      <c r="I672" s="17">
        <f>IF(A672="COMPOSICAO",VLOOKUP("TOTAL - "&amp;B672,COMPOSICAO_AUX_3!$A:$J,10,FALSE),VLOOKUP(B672,I!$A:$D,4,FALSE))</f>
        <v>0.7</v>
      </c>
      <c r="J672" s="80">
        <f t="shared" si="24"/>
        <v>0.7</v>
      </c>
      <c r="K672" s="81"/>
    </row>
    <row r="673" spans="1:13" ht="15" customHeight="1" x14ac:dyDescent="0.25">
      <c r="A673" s="16" t="s">
        <v>306</v>
      </c>
      <c r="B673" s="20">
        <v>37372</v>
      </c>
      <c r="C673" s="77" t="str">
        <f>VLOOKUP(B673,IF(A673="COMPOSICAO",S!$A:$D,I!$A:$D),2,FALSE)</f>
        <v>EXAMES - HORISTA (COLETADO CAIXA)</v>
      </c>
      <c r="D673" s="77"/>
      <c r="E673" s="77"/>
      <c r="F673" s="77"/>
      <c r="G673" s="16" t="str">
        <f>VLOOKUP(B673,IF(A673="COMPOSICAO",S!$A:$D,I!$A:$D),3,FALSE)</f>
        <v>H</v>
      </c>
      <c r="H673" s="17">
        <v>1</v>
      </c>
      <c r="I673" s="17">
        <f>IF(A673="COMPOSICAO",VLOOKUP("TOTAL - "&amp;B673,COMPOSICAO_AUX_3!$A:$J,10,FALSE),VLOOKUP(B673,I!$A:$D,4,FALSE))</f>
        <v>0.55000000000000004</v>
      </c>
      <c r="J673" s="80">
        <f t="shared" si="24"/>
        <v>0.55000000000000004</v>
      </c>
      <c r="K673" s="81"/>
    </row>
    <row r="674" spans="1:13" ht="15" customHeight="1" x14ac:dyDescent="0.25">
      <c r="A674" s="16" t="s">
        <v>306</v>
      </c>
      <c r="B674" s="20">
        <v>37373</v>
      </c>
      <c r="C674" s="77" t="str">
        <f>VLOOKUP(B674,IF(A674="COMPOSICAO",S!$A:$D,I!$A:$D),2,FALSE)</f>
        <v>SEGURO - HORISTA (COLETADO CAIXA)</v>
      </c>
      <c r="D674" s="77"/>
      <c r="E674" s="77"/>
      <c r="F674" s="77"/>
      <c r="G674" s="16" t="str">
        <f>VLOOKUP(B674,IF(A674="COMPOSICAO",S!$A:$D,I!$A:$D),3,FALSE)</f>
        <v>H</v>
      </c>
      <c r="H674" s="17">
        <v>1</v>
      </c>
      <c r="I674" s="17">
        <f>IF(A674="COMPOSICAO",VLOOKUP("TOTAL - "&amp;B674,COMPOSICAO_AUX_3!$A:$J,10,FALSE),VLOOKUP(B674,I!$A:$D,4,FALSE))</f>
        <v>0.06</v>
      </c>
      <c r="J674" s="80">
        <f t="shared" si="24"/>
        <v>0.06</v>
      </c>
      <c r="K674" s="81"/>
    </row>
    <row r="675" spans="1:13" ht="30" customHeight="1" x14ac:dyDescent="0.25">
      <c r="A675" s="16" t="s">
        <v>306</v>
      </c>
      <c r="B675" s="20">
        <v>43461</v>
      </c>
      <c r="C675" s="77" t="str">
        <f>VLOOKUP(B675,IF(A675="COMPOSICAO",S!$A:$D,I!$A:$D),2,FALSE)</f>
        <v>FERRAMENTAS - FAMILIA ENCANADOR - HORISTA (ENCARGOS COMPLEMENTARES - COLETADO CAIXA)</v>
      </c>
      <c r="D675" s="77"/>
      <c r="E675" s="77"/>
      <c r="F675" s="77"/>
      <c r="G675" s="16" t="str">
        <f>VLOOKUP(B675,IF(A675="COMPOSICAO",S!$A:$D,I!$A:$D),3,FALSE)</f>
        <v>H</v>
      </c>
      <c r="H675" s="17">
        <v>1</v>
      </c>
      <c r="I675" s="17">
        <f>IF(A675="COMPOSICAO",VLOOKUP("TOTAL - "&amp;B675,COMPOSICAO_AUX_3!$A:$J,10,FALSE),VLOOKUP(B675,I!$A:$D,4,FALSE))</f>
        <v>0.28000000000000003</v>
      </c>
      <c r="J675" s="80">
        <f t="shared" si="24"/>
        <v>0.28000000000000003</v>
      </c>
      <c r="K675" s="81"/>
    </row>
    <row r="676" spans="1:13" ht="30" customHeight="1" x14ac:dyDescent="0.25">
      <c r="A676" s="16" t="s">
        <v>306</v>
      </c>
      <c r="B676" s="20">
        <v>43485</v>
      </c>
      <c r="C676" s="77" t="str">
        <f>VLOOKUP(B676,IF(A676="COMPOSICAO",S!$A:$D,I!$A:$D),2,FALSE)</f>
        <v>EPI - FAMILIA ENCANADOR - HORISTA (ENCARGOS COMPLEMENTARES - COLETADO CAIXA)</v>
      </c>
      <c r="D676" s="77"/>
      <c r="E676" s="77"/>
      <c r="F676" s="77"/>
      <c r="G676" s="16" t="str">
        <f>VLOOKUP(B676,IF(A676="COMPOSICAO",S!$A:$D,I!$A:$D),3,FALSE)</f>
        <v>H</v>
      </c>
      <c r="H676" s="17">
        <v>1</v>
      </c>
      <c r="I676" s="17">
        <f>IF(A676="COMPOSICAO",VLOOKUP("TOTAL - "&amp;B676,COMPOSICAO_AUX_3!$A:$J,10,FALSE),VLOOKUP(B676,I!$A:$D,4,FALSE))</f>
        <v>0.8</v>
      </c>
      <c r="J676" s="80">
        <f t="shared" si="24"/>
        <v>0.8</v>
      </c>
      <c r="K676" s="81"/>
    </row>
    <row r="677" spans="1:13" ht="45" customHeight="1" x14ac:dyDescent="0.25">
      <c r="A677" s="16" t="s">
        <v>302</v>
      </c>
      <c r="B677" s="20">
        <v>95317</v>
      </c>
      <c r="C677" s="77" t="str">
        <f>VLOOKUP(B677,IF(A677="COMPOSICAO",S!$A:$D,I!$A:$D),2,FALSE)</f>
        <v>CURSO DE CAPACITAÇÃO PARA AUXILIAR DE ENCANADOR OU BOMBEIRO HIDRÁULICO (ENCARGOS COMPLEMENTARES) - HORISTA</v>
      </c>
      <c r="D677" s="77"/>
      <c r="E677" s="77"/>
      <c r="F677" s="77"/>
      <c r="G677" s="16" t="str">
        <f>VLOOKUP(B677,IF(A677="COMPOSICAO",S!$A:$D,I!$A:$D),3,FALSE)</f>
        <v>H</v>
      </c>
      <c r="H677" s="17">
        <v>1</v>
      </c>
      <c r="I677" s="17">
        <f>IF(A677="COMPOSICAO",VLOOKUP("TOTAL - "&amp;B677,COMPOSICAO_AUX_3!$A:$J,10,FALSE),VLOOKUP(B677,I!$A:$D,4,FALSE))</f>
        <v>0.13</v>
      </c>
      <c r="J677" s="80">
        <f t="shared" si="24"/>
        <v>0.13</v>
      </c>
      <c r="K677" s="81"/>
    </row>
    <row r="678" spans="1:13" ht="15" customHeight="1" x14ac:dyDescent="0.25">
      <c r="A678" s="23" t="s">
        <v>798</v>
      </c>
      <c r="B678" s="24"/>
      <c r="C678" s="24"/>
      <c r="D678" s="24"/>
      <c r="E678" s="24"/>
      <c r="F678" s="24"/>
      <c r="G678" s="25"/>
      <c r="H678" s="26"/>
      <c r="I678" s="27"/>
      <c r="J678" s="80">
        <f>SUM(J669:K677)</f>
        <v>14.96</v>
      </c>
      <c r="K678" s="81"/>
    </row>
    <row r="679" spans="1:13" ht="15" customHeight="1" x14ac:dyDescent="0.25">
      <c r="A679" s="3"/>
      <c r="B679" s="3"/>
      <c r="C679" s="3"/>
      <c r="D679" s="3"/>
      <c r="E679" s="3"/>
      <c r="F679" s="3"/>
      <c r="G679" s="3"/>
      <c r="H679" s="3"/>
      <c r="I679" s="3"/>
      <c r="J679" s="3"/>
      <c r="K679" s="3"/>
    </row>
    <row r="680" spans="1:13" ht="15" customHeight="1" x14ac:dyDescent="0.25">
      <c r="A680" s="10" t="s">
        <v>295</v>
      </c>
      <c r="B680" s="10" t="s">
        <v>31</v>
      </c>
      <c r="C680" s="82" t="s">
        <v>7</v>
      </c>
      <c r="D680" s="83"/>
      <c r="E680" s="83"/>
      <c r="F680" s="83"/>
      <c r="G680" s="6" t="s">
        <v>32</v>
      </c>
      <c r="H680" s="6" t="s">
        <v>296</v>
      </c>
      <c r="I680" s="6" t="s">
        <v>297</v>
      </c>
      <c r="J680" s="57" t="s">
        <v>9</v>
      </c>
      <c r="K680" s="58"/>
    </row>
    <row r="681" spans="1:13" ht="30" customHeight="1" x14ac:dyDescent="0.25">
      <c r="A681" s="6" t="s">
        <v>502</v>
      </c>
      <c r="B681" s="28">
        <v>88267</v>
      </c>
      <c r="C681" s="91" t="str">
        <f>VLOOKUP(B681,S!$A:$D,2,FALSE)</f>
        <v>ENCANADOR OU BOMBEIRO HIDRÁULICO COM ENCARGOS COMPLEMENTARES</v>
      </c>
      <c r="D681" s="91"/>
      <c r="E681" s="91"/>
      <c r="F681" s="92"/>
      <c r="G681" s="6" t="str">
        <f>VLOOKUP(B681,S!$A:$D,3,FALSE)</f>
        <v>H</v>
      </c>
      <c r="H681" s="21"/>
      <c r="I681" s="21">
        <f>J690</f>
        <v>19.37</v>
      </c>
      <c r="J681" s="76"/>
      <c r="K681" s="72"/>
      <c r="L681" s="21">
        <f>VLOOKUP(B681,S!$A:$D,4,FALSE)</f>
        <v>19.37</v>
      </c>
      <c r="M681" s="6" t="str">
        <f>IF(ROUND((L681-I681),2)=0,"OK, confere com a tabela.",IF(ROUND((L681-I681),2)&lt;0,"ACIMA ("&amp;TEXT(ROUND(I681*100/L681,4),"0,0000")&amp;" %) da tabela.","ABAIXO ("&amp;TEXT(ROUND(I681*100/L681,4),"0,0000")&amp;" %) da tabela."))</f>
        <v>OK, confere com a tabela.</v>
      </c>
    </row>
    <row r="682" spans="1:13" ht="15" customHeight="1" x14ac:dyDescent="0.25">
      <c r="A682" s="16" t="s">
        <v>306</v>
      </c>
      <c r="B682" s="20">
        <v>2696</v>
      </c>
      <c r="C682" s="77" t="str">
        <f>VLOOKUP(B682,IF(A682="COMPOSICAO",S!$A:$D,I!$A:$D),2,FALSE)</f>
        <v>ENCANADOR OU BOMBEIRO HIDRAULICO</v>
      </c>
      <c r="D682" s="77"/>
      <c r="E682" s="77"/>
      <c r="F682" s="77"/>
      <c r="G682" s="16" t="str">
        <f>VLOOKUP(B682,IF(A682="COMPOSICAO",S!$A:$D,I!$A:$D),3,FALSE)</f>
        <v>H</v>
      </c>
      <c r="H682" s="17">
        <v>1</v>
      </c>
      <c r="I682" s="17">
        <f>IF(A682="COMPOSICAO",VLOOKUP("TOTAL - "&amp;B682,COMPOSICAO_AUX_3!$A:$J,10,FALSE),VLOOKUP(B682,I!$A:$D,4,FALSE))</f>
        <v>14.93</v>
      </c>
      <c r="J682" s="80">
        <f t="shared" ref="J682:J689" si="25">TRUNC(H682*I682,2)</f>
        <v>14.93</v>
      </c>
      <c r="K682" s="81"/>
    </row>
    <row r="683" spans="1:13" ht="15" customHeight="1" x14ac:dyDescent="0.25">
      <c r="A683" s="16" t="s">
        <v>306</v>
      </c>
      <c r="B683" s="20">
        <v>37370</v>
      </c>
      <c r="C683" s="77" t="str">
        <f>VLOOKUP(B683,IF(A683="COMPOSICAO",S!$A:$D,I!$A:$D),2,FALSE)</f>
        <v>ALIMENTACAO - HORISTA (COLETADO CAIXA)</v>
      </c>
      <c r="D683" s="77"/>
      <c r="E683" s="77"/>
      <c r="F683" s="77"/>
      <c r="G683" s="16" t="str">
        <f>VLOOKUP(B683,IF(A683="COMPOSICAO",S!$A:$D,I!$A:$D),3,FALSE)</f>
        <v>H</v>
      </c>
      <c r="H683" s="17">
        <v>1</v>
      </c>
      <c r="I683" s="17">
        <f>IF(A683="COMPOSICAO",VLOOKUP("TOTAL - "&amp;B683,COMPOSICAO_AUX_3!$A:$J,10,FALSE),VLOOKUP(B683,I!$A:$D,4,FALSE))</f>
        <v>1.86</v>
      </c>
      <c r="J683" s="80">
        <f t="shared" si="25"/>
        <v>1.86</v>
      </c>
      <c r="K683" s="81"/>
    </row>
    <row r="684" spans="1:13" ht="15" customHeight="1" x14ac:dyDescent="0.25">
      <c r="A684" s="16" t="s">
        <v>306</v>
      </c>
      <c r="B684" s="20">
        <v>37371</v>
      </c>
      <c r="C684" s="77" t="str">
        <f>VLOOKUP(B684,IF(A684="COMPOSICAO",S!$A:$D,I!$A:$D),2,FALSE)</f>
        <v>TRANSPORTE - HORISTA (COLETADO CAIXA)</v>
      </c>
      <c r="D684" s="77"/>
      <c r="E684" s="77"/>
      <c r="F684" s="77"/>
      <c r="G684" s="16" t="str">
        <f>VLOOKUP(B684,IF(A684="COMPOSICAO",S!$A:$D,I!$A:$D),3,FALSE)</f>
        <v>H</v>
      </c>
      <c r="H684" s="17">
        <v>1</v>
      </c>
      <c r="I684" s="17">
        <f>IF(A684="COMPOSICAO",VLOOKUP("TOTAL - "&amp;B684,COMPOSICAO_AUX_3!$A:$J,10,FALSE),VLOOKUP(B684,I!$A:$D,4,FALSE))</f>
        <v>0.7</v>
      </c>
      <c r="J684" s="80">
        <f t="shared" si="25"/>
        <v>0.7</v>
      </c>
      <c r="K684" s="81"/>
    </row>
    <row r="685" spans="1:13" ht="15" customHeight="1" x14ac:dyDescent="0.25">
      <c r="A685" s="16" t="s">
        <v>306</v>
      </c>
      <c r="B685" s="20">
        <v>37372</v>
      </c>
      <c r="C685" s="77" t="str">
        <f>VLOOKUP(B685,IF(A685="COMPOSICAO",S!$A:$D,I!$A:$D),2,FALSE)</f>
        <v>EXAMES - HORISTA (COLETADO CAIXA)</v>
      </c>
      <c r="D685" s="77"/>
      <c r="E685" s="77"/>
      <c r="F685" s="77"/>
      <c r="G685" s="16" t="str">
        <f>VLOOKUP(B685,IF(A685="COMPOSICAO",S!$A:$D,I!$A:$D),3,FALSE)</f>
        <v>H</v>
      </c>
      <c r="H685" s="17">
        <v>1</v>
      </c>
      <c r="I685" s="17">
        <f>IF(A685="COMPOSICAO",VLOOKUP("TOTAL - "&amp;B685,COMPOSICAO_AUX_3!$A:$J,10,FALSE),VLOOKUP(B685,I!$A:$D,4,FALSE))</f>
        <v>0.55000000000000004</v>
      </c>
      <c r="J685" s="80">
        <f t="shared" si="25"/>
        <v>0.55000000000000004</v>
      </c>
      <c r="K685" s="81"/>
    </row>
    <row r="686" spans="1:13" ht="15" customHeight="1" x14ac:dyDescent="0.25">
      <c r="A686" s="16" t="s">
        <v>306</v>
      </c>
      <c r="B686" s="20">
        <v>37373</v>
      </c>
      <c r="C686" s="77" t="str">
        <f>VLOOKUP(B686,IF(A686="COMPOSICAO",S!$A:$D,I!$A:$D),2,FALSE)</f>
        <v>SEGURO - HORISTA (COLETADO CAIXA)</v>
      </c>
      <c r="D686" s="77"/>
      <c r="E686" s="77"/>
      <c r="F686" s="77"/>
      <c r="G686" s="16" t="str">
        <f>VLOOKUP(B686,IF(A686="COMPOSICAO",S!$A:$D,I!$A:$D),3,FALSE)</f>
        <v>H</v>
      </c>
      <c r="H686" s="17">
        <v>1</v>
      </c>
      <c r="I686" s="17">
        <f>IF(A686="COMPOSICAO",VLOOKUP("TOTAL - "&amp;B686,COMPOSICAO_AUX_3!$A:$J,10,FALSE),VLOOKUP(B686,I!$A:$D,4,FALSE))</f>
        <v>0.06</v>
      </c>
      <c r="J686" s="80">
        <f t="shared" si="25"/>
        <v>0.06</v>
      </c>
      <c r="K686" s="81"/>
    </row>
    <row r="687" spans="1:13" ht="30" customHeight="1" x14ac:dyDescent="0.25">
      <c r="A687" s="16" t="s">
        <v>306</v>
      </c>
      <c r="B687" s="20">
        <v>43461</v>
      </c>
      <c r="C687" s="77" t="str">
        <f>VLOOKUP(B687,IF(A687="COMPOSICAO",S!$A:$D,I!$A:$D),2,FALSE)</f>
        <v>FERRAMENTAS - FAMILIA ENCANADOR - HORISTA (ENCARGOS COMPLEMENTARES - COLETADO CAIXA)</v>
      </c>
      <c r="D687" s="77"/>
      <c r="E687" s="77"/>
      <c r="F687" s="77"/>
      <c r="G687" s="16" t="str">
        <f>VLOOKUP(B687,IF(A687="COMPOSICAO",S!$A:$D,I!$A:$D),3,FALSE)</f>
        <v>H</v>
      </c>
      <c r="H687" s="17">
        <v>1</v>
      </c>
      <c r="I687" s="17">
        <f>IF(A687="COMPOSICAO",VLOOKUP("TOTAL - "&amp;B687,COMPOSICAO_AUX_3!$A:$J,10,FALSE),VLOOKUP(B687,I!$A:$D,4,FALSE))</f>
        <v>0.28000000000000003</v>
      </c>
      <c r="J687" s="80">
        <f t="shared" si="25"/>
        <v>0.28000000000000003</v>
      </c>
      <c r="K687" s="81"/>
    </row>
    <row r="688" spans="1:13" ht="30" customHeight="1" x14ac:dyDescent="0.25">
      <c r="A688" s="16" t="s">
        <v>306</v>
      </c>
      <c r="B688" s="20">
        <v>43485</v>
      </c>
      <c r="C688" s="77" t="str">
        <f>VLOOKUP(B688,IF(A688="COMPOSICAO",S!$A:$D,I!$A:$D),2,FALSE)</f>
        <v>EPI - FAMILIA ENCANADOR - HORISTA (ENCARGOS COMPLEMENTARES - COLETADO CAIXA)</v>
      </c>
      <c r="D688" s="77"/>
      <c r="E688" s="77"/>
      <c r="F688" s="77"/>
      <c r="G688" s="16" t="str">
        <f>VLOOKUP(B688,IF(A688="COMPOSICAO",S!$A:$D,I!$A:$D),3,FALSE)</f>
        <v>H</v>
      </c>
      <c r="H688" s="17">
        <v>1</v>
      </c>
      <c r="I688" s="17">
        <f>IF(A688="COMPOSICAO",VLOOKUP("TOTAL - "&amp;B688,COMPOSICAO_AUX_3!$A:$J,10,FALSE),VLOOKUP(B688,I!$A:$D,4,FALSE))</f>
        <v>0.8</v>
      </c>
      <c r="J688" s="80">
        <f t="shared" si="25"/>
        <v>0.8</v>
      </c>
      <c r="K688" s="81"/>
    </row>
    <row r="689" spans="1:13" ht="45" customHeight="1" x14ac:dyDescent="0.25">
      <c r="A689" s="16" t="s">
        <v>302</v>
      </c>
      <c r="B689" s="20">
        <v>95335</v>
      </c>
      <c r="C689" s="77" t="str">
        <f>VLOOKUP(B689,IF(A689="COMPOSICAO",S!$A:$D,I!$A:$D),2,FALSE)</f>
        <v>CURSO DE CAPACITAÇÃO PARA ENCANADOR OU BOMBEIRO HIDRÁULICO (ENCARGOS COMPLEMENTARES) - HORISTA</v>
      </c>
      <c r="D689" s="77"/>
      <c r="E689" s="77"/>
      <c r="F689" s="77"/>
      <c r="G689" s="16" t="str">
        <f>VLOOKUP(B689,IF(A689="COMPOSICAO",S!$A:$D,I!$A:$D),3,FALSE)</f>
        <v>H</v>
      </c>
      <c r="H689" s="17">
        <v>1</v>
      </c>
      <c r="I689" s="17">
        <f>IF(A689="COMPOSICAO",VLOOKUP("TOTAL - "&amp;B689,COMPOSICAO_AUX_3!$A:$J,10,FALSE),VLOOKUP(B689,I!$A:$D,4,FALSE))</f>
        <v>0.19</v>
      </c>
      <c r="J689" s="80">
        <f t="shared" si="25"/>
        <v>0.19</v>
      </c>
      <c r="K689" s="81"/>
    </row>
    <row r="690" spans="1:13" ht="15" customHeight="1" x14ac:dyDescent="0.25">
      <c r="A690" s="23" t="s">
        <v>712</v>
      </c>
      <c r="B690" s="24"/>
      <c r="C690" s="24"/>
      <c r="D690" s="24"/>
      <c r="E690" s="24"/>
      <c r="F690" s="24"/>
      <c r="G690" s="25"/>
      <c r="H690" s="26"/>
      <c r="I690" s="27"/>
      <c r="J690" s="80">
        <f>SUM(J681:K689)</f>
        <v>19.37</v>
      </c>
      <c r="K690" s="81"/>
    </row>
    <row r="691" spans="1:13" ht="15" customHeight="1" x14ac:dyDescent="0.25">
      <c r="A691" s="3"/>
      <c r="B691" s="3"/>
      <c r="C691" s="3"/>
      <c r="D691" s="3"/>
      <c r="E691" s="3"/>
      <c r="F691" s="3"/>
      <c r="G691" s="3"/>
      <c r="H691" s="3"/>
      <c r="I691" s="3"/>
      <c r="J691" s="3"/>
      <c r="K691" s="3"/>
    </row>
    <row r="692" spans="1:13" ht="15" customHeight="1" x14ac:dyDescent="0.25">
      <c r="A692" s="10" t="s">
        <v>295</v>
      </c>
      <c r="B692" s="10" t="s">
        <v>31</v>
      </c>
      <c r="C692" s="82" t="s">
        <v>7</v>
      </c>
      <c r="D692" s="83"/>
      <c r="E692" s="83"/>
      <c r="F692" s="83"/>
      <c r="G692" s="6" t="s">
        <v>32</v>
      </c>
      <c r="H692" s="6" t="s">
        <v>296</v>
      </c>
      <c r="I692" s="6" t="s">
        <v>297</v>
      </c>
      <c r="J692" s="57" t="s">
        <v>9</v>
      </c>
      <c r="K692" s="58"/>
    </row>
    <row r="693" spans="1:13" ht="45" customHeight="1" x14ac:dyDescent="0.25">
      <c r="A693" s="6" t="s">
        <v>502</v>
      </c>
      <c r="B693" s="28">
        <v>88629</v>
      </c>
      <c r="C693" s="91" t="str">
        <f>VLOOKUP(B693,S!$A:$D,2,FALSE)</f>
        <v>ARGAMASSA TRAÇO 1:3 (EM VOLUME DE CIMENTO E AREIA MÉDIA ÚMIDA), PREPARO MANUAL. AF_08/2019</v>
      </c>
      <c r="D693" s="91"/>
      <c r="E693" s="91"/>
      <c r="F693" s="92"/>
      <c r="G693" s="6" t="str">
        <f>VLOOKUP(B693,S!$A:$D,3,FALSE)</f>
        <v>M3</v>
      </c>
      <c r="H693" s="21"/>
      <c r="I693" s="21">
        <f>J697</f>
        <v>527.39</v>
      </c>
      <c r="J693" s="76"/>
      <c r="K693" s="72"/>
      <c r="L693" s="21">
        <f>VLOOKUP(B693,S!$A:$D,4,FALSE)</f>
        <v>527.39</v>
      </c>
      <c r="M693" s="6" t="str">
        <f>IF(ROUND((L693-I693),2)=0,"OK, confere com a tabela.",IF(ROUND((L693-I693),2)&lt;0,"ACIMA ("&amp;TEXT(ROUND(I693*100/L693,4),"0,0000")&amp;" %) da tabela.","ABAIXO ("&amp;TEXT(ROUND(I693*100/L693,4),"0,0000")&amp;" %) da tabela."))</f>
        <v>OK, confere com a tabela.</v>
      </c>
    </row>
    <row r="694" spans="1:13" ht="30" customHeight="1" x14ac:dyDescent="0.25">
      <c r="A694" s="16" t="s">
        <v>306</v>
      </c>
      <c r="B694" s="20">
        <v>370</v>
      </c>
      <c r="C694" s="77" t="str">
        <f>VLOOKUP(B694,IF(A694="COMPOSICAO",S!$A:$D,I!$A:$D),2,FALSE)</f>
        <v>AREIA MEDIA - POSTO JAZIDA/FORNECEDOR (RETIRADO NA JAZIDA, SEM TRANSPORTE)</v>
      </c>
      <c r="D694" s="77"/>
      <c r="E694" s="77"/>
      <c r="F694" s="77"/>
      <c r="G694" s="16" t="str">
        <f>VLOOKUP(B694,IF(A694="COMPOSICAO",S!$A:$D,I!$A:$D),3,FALSE)</f>
        <v>M3</v>
      </c>
      <c r="H694" s="17">
        <v>1.07</v>
      </c>
      <c r="I694" s="17">
        <f>IF(A694="COMPOSICAO",VLOOKUP("TOTAL - "&amp;B694,COMPOSICAO_AUX_3!$A:$J,10,FALSE),VLOOKUP(B694,I!$A:$D,4,FALSE))</f>
        <v>54</v>
      </c>
      <c r="J694" s="80">
        <f>TRUNC(H694*I694,2)</f>
        <v>57.78</v>
      </c>
      <c r="K694" s="81"/>
    </row>
    <row r="695" spans="1:13" ht="15" customHeight="1" x14ac:dyDescent="0.25">
      <c r="A695" s="16" t="s">
        <v>306</v>
      </c>
      <c r="B695" s="20">
        <v>1379</v>
      </c>
      <c r="C695" s="77" t="str">
        <f>VLOOKUP(B695,IF(A695="COMPOSICAO",S!$A:$D,I!$A:$D),2,FALSE)</f>
        <v>CIMENTO PORTLAND COMPOSTO CP II-32</v>
      </c>
      <c r="D695" s="77"/>
      <c r="E695" s="77"/>
      <c r="F695" s="77"/>
      <c r="G695" s="16" t="str">
        <f>VLOOKUP(B695,IF(A695="COMPOSICAO",S!$A:$D,I!$A:$D),3,FALSE)</f>
        <v>KG</v>
      </c>
      <c r="H695" s="17">
        <v>482.96</v>
      </c>
      <c r="I695" s="17">
        <f>IF(A695="COMPOSICAO",VLOOKUP("TOTAL - "&amp;B695,COMPOSICAO_AUX_3!$A:$J,10,FALSE),VLOOKUP(B695,I!$A:$D,4,FALSE))</f>
        <v>0.7</v>
      </c>
      <c r="J695" s="80">
        <f>TRUNC(H695*I695,2)</f>
        <v>338.07</v>
      </c>
      <c r="K695" s="81"/>
    </row>
    <row r="696" spans="1:13" ht="15" customHeight="1" x14ac:dyDescent="0.25">
      <c r="A696" s="16" t="s">
        <v>302</v>
      </c>
      <c r="B696" s="20">
        <v>88316</v>
      </c>
      <c r="C696" s="77" t="str">
        <f>VLOOKUP(B696,IF(A696="COMPOSICAO",S!$A:$D,I!$A:$D),2,FALSE)</f>
        <v>SERVENTE COM ENCARGOS COMPLEMENTARES</v>
      </c>
      <c r="D696" s="77"/>
      <c r="E696" s="77"/>
      <c r="F696" s="77"/>
      <c r="G696" s="16" t="str">
        <f>VLOOKUP(B696,IF(A696="COMPOSICAO",S!$A:$D,I!$A:$D),3,FALSE)</f>
        <v>H</v>
      </c>
      <c r="H696" s="17">
        <v>8.57</v>
      </c>
      <c r="I696" s="17">
        <f>IF(A696="COMPOSICAO",VLOOKUP("TOTAL - "&amp;B696,COMPOSICAO_AUX_3!$A:$J,10,FALSE),VLOOKUP(B696,I!$A:$D,4,FALSE))</f>
        <v>15.35</v>
      </c>
      <c r="J696" s="80">
        <f>TRUNC(H696*I696,2)</f>
        <v>131.54</v>
      </c>
      <c r="K696" s="81"/>
    </row>
    <row r="697" spans="1:13" ht="15" customHeight="1" x14ac:dyDescent="0.25">
      <c r="A697" s="23" t="s">
        <v>799</v>
      </c>
      <c r="B697" s="24"/>
      <c r="C697" s="24"/>
      <c r="D697" s="24"/>
      <c r="E697" s="24"/>
      <c r="F697" s="24"/>
      <c r="G697" s="25"/>
      <c r="H697" s="26"/>
      <c r="I697" s="27"/>
      <c r="J697" s="80">
        <f>SUM(J693:K696)</f>
        <v>527.39</v>
      </c>
      <c r="K697" s="81"/>
    </row>
    <row r="698" spans="1:13" ht="15" customHeight="1" x14ac:dyDescent="0.25">
      <c r="A698" s="3"/>
      <c r="B698" s="3"/>
      <c r="C698" s="3"/>
      <c r="D698" s="3"/>
      <c r="E698" s="3"/>
      <c r="F698" s="3"/>
      <c r="G698" s="3"/>
      <c r="H698" s="3"/>
      <c r="I698" s="3"/>
      <c r="J698" s="3"/>
      <c r="K698" s="3"/>
    </row>
    <row r="699" spans="1:13" ht="15" customHeight="1" x14ac:dyDescent="0.25">
      <c r="A699" s="10" t="s">
        <v>295</v>
      </c>
      <c r="B699" s="10" t="s">
        <v>31</v>
      </c>
      <c r="C699" s="82" t="s">
        <v>7</v>
      </c>
      <c r="D699" s="83"/>
      <c r="E699" s="83"/>
      <c r="F699" s="83"/>
      <c r="G699" s="6" t="s">
        <v>32</v>
      </c>
      <c r="H699" s="6" t="s">
        <v>296</v>
      </c>
      <c r="I699" s="6" t="s">
        <v>297</v>
      </c>
      <c r="J699" s="57" t="s">
        <v>9</v>
      </c>
      <c r="K699" s="58"/>
    </row>
    <row r="700" spans="1:13" ht="15" customHeight="1" x14ac:dyDescent="0.25">
      <c r="A700" s="6" t="s">
        <v>11</v>
      </c>
      <c r="B700" s="6" t="s">
        <v>666</v>
      </c>
      <c r="C700" s="91" t="str">
        <f>VLOOKUP(B700,S!$A:$D,2,FALSE)</f>
        <v>ENCARGOS COMPLEMENTARES - CARPINTEIRO</v>
      </c>
      <c r="D700" s="91"/>
      <c r="E700" s="91"/>
      <c r="F700" s="92"/>
      <c r="G700" s="6" t="str">
        <f>VLOOKUP(B700,S!$A:$D,3,FALSE)</f>
        <v>H</v>
      </c>
      <c r="H700" s="21"/>
      <c r="I700" s="21">
        <f>J721</f>
        <v>2.8400000000000003</v>
      </c>
      <c r="J700" s="76"/>
      <c r="K700" s="72"/>
      <c r="L700" s="21">
        <f>VLOOKUP(B700,S!$A:$D,4,FALSE)</f>
        <v>2.89</v>
      </c>
      <c r="M700" s="6" t="str">
        <f>IF(ROUND((L700-I700),2)=0,"OK, confere com a tabela.",IF(ROUND((L700-I700),2)&lt;0,"ACIMA ("&amp;TEXT(ROUND(I700*100/L700,4),"0,0000")&amp;" %) da tabela.","ABAIXO ("&amp;TEXT(ROUND(I700*100/L700,4),"0,0000")&amp;" %) da tabela."))</f>
        <v>ABAIXO (98,2699 %) da tabela.</v>
      </c>
    </row>
    <row r="701" spans="1:13" ht="15" customHeight="1" x14ac:dyDescent="0.25">
      <c r="A701" s="16" t="s">
        <v>306</v>
      </c>
      <c r="B701" s="16" t="s">
        <v>519</v>
      </c>
      <c r="C701" s="77" t="str">
        <f>VLOOKUP(B701,IF(A701="COMPOSICAO",S!$A:$D,I!$A:$D),2,FALSE)</f>
        <v>ALMOÇO (PARTICIPAÇÃO DO EMPREGADOR)</v>
      </c>
      <c r="D701" s="77"/>
      <c r="E701" s="77"/>
      <c r="F701" s="77"/>
      <c r="G701" s="16" t="str">
        <f>VLOOKUP(B701,IF(A701="COMPOSICAO",S!$A:$D,I!$A:$D),3,FALSE)</f>
        <v>UN</v>
      </c>
      <c r="H701" s="29">
        <v>0.1018</v>
      </c>
      <c r="I701" s="17">
        <f>IF(A701="COMPOSICAO",VLOOKUP("TOTAL - "&amp;B701,COMPOSICAO_AUX_3!$A:$J,10,FALSE),VLOOKUP(B701,I!$A:$D,4,FALSE))</f>
        <v>10</v>
      </c>
      <c r="J701" s="80">
        <f t="shared" ref="J701:J720" si="26">TRUNC(H701*I701,2)</f>
        <v>1.01</v>
      </c>
      <c r="K701" s="81"/>
    </row>
    <row r="702" spans="1:13" ht="15" customHeight="1" x14ac:dyDescent="0.25">
      <c r="A702" s="16" t="s">
        <v>306</v>
      </c>
      <c r="B702" s="16" t="s">
        <v>520</v>
      </c>
      <c r="C702" s="77" t="str">
        <f>VLOOKUP(B702,IF(A702="COMPOSICAO",S!$A:$D,I!$A:$D),2,FALSE)</f>
        <v>FARDAMENTO</v>
      </c>
      <c r="D702" s="77"/>
      <c r="E702" s="77"/>
      <c r="F702" s="77"/>
      <c r="G702" s="16" t="str">
        <f>VLOOKUP(B702,IF(A702="COMPOSICAO",S!$A:$D,I!$A:$D),3,FALSE)</f>
        <v>UN</v>
      </c>
      <c r="H702" s="29">
        <v>1.5E-3</v>
      </c>
      <c r="I702" s="17">
        <f>IF(A702="COMPOSICAO",VLOOKUP("TOTAL - "&amp;B702,COMPOSICAO_AUX_3!$A:$J,10,FALSE),VLOOKUP(B702,I!$A:$D,4,FALSE))</f>
        <v>78.53</v>
      </c>
      <c r="J702" s="80">
        <f t="shared" si="26"/>
        <v>0.11</v>
      </c>
      <c r="K702" s="81"/>
    </row>
    <row r="703" spans="1:13" ht="15" customHeight="1" x14ac:dyDescent="0.25">
      <c r="A703" s="16" t="s">
        <v>306</v>
      </c>
      <c r="B703" s="16" t="s">
        <v>521</v>
      </c>
      <c r="C703" s="77" t="str">
        <f>VLOOKUP(B703,IF(A703="COMPOSICAO",S!$A:$D,I!$A:$D),2,FALSE)</f>
        <v>ÓCULOS BRANCO PROTEÇÃO</v>
      </c>
      <c r="D703" s="77"/>
      <c r="E703" s="77"/>
      <c r="F703" s="77"/>
      <c r="G703" s="16" t="str">
        <f>VLOOKUP(B703,IF(A703="COMPOSICAO",S!$A:$D,I!$A:$D),3,FALSE)</f>
        <v>PR</v>
      </c>
      <c r="H703" s="29">
        <v>6.9999999999999999E-4</v>
      </c>
      <c r="I703" s="17">
        <f>IF(A703="COMPOSICAO",VLOOKUP("TOTAL - "&amp;B703,COMPOSICAO_AUX_3!$A:$J,10,FALSE),VLOOKUP(B703,I!$A:$D,4,FALSE))</f>
        <v>5.9</v>
      </c>
      <c r="J703" s="80">
        <f t="shared" si="26"/>
        <v>0</v>
      </c>
      <c r="K703" s="81"/>
    </row>
    <row r="704" spans="1:13" ht="15" customHeight="1" x14ac:dyDescent="0.25">
      <c r="A704" s="16" t="s">
        <v>306</v>
      </c>
      <c r="B704" s="16" t="s">
        <v>522</v>
      </c>
      <c r="C704" s="77" t="str">
        <f>VLOOKUP(B704,IF(A704="COMPOSICAO",S!$A:$D,I!$A:$D),2,FALSE)</f>
        <v>VALE TRANSPORTE</v>
      </c>
      <c r="D704" s="77"/>
      <c r="E704" s="77"/>
      <c r="F704" s="77"/>
      <c r="G704" s="16" t="str">
        <f>VLOOKUP(B704,IF(A704="COMPOSICAO",S!$A:$D,I!$A:$D),3,FALSE)</f>
        <v>UN</v>
      </c>
      <c r="H704" s="29">
        <v>6.54E-2</v>
      </c>
      <c r="I704" s="17">
        <f>IF(A704="COMPOSICAO",VLOOKUP("TOTAL - "&amp;B704,COMPOSICAO_AUX_3!$A:$J,10,FALSE),VLOOKUP(B704,I!$A:$D,4,FALSE))</f>
        <v>4</v>
      </c>
      <c r="J704" s="80">
        <f t="shared" si="26"/>
        <v>0.26</v>
      </c>
      <c r="K704" s="81"/>
    </row>
    <row r="705" spans="1:11" ht="15" customHeight="1" x14ac:dyDescent="0.25">
      <c r="A705" s="16" t="s">
        <v>306</v>
      </c>
      <c r="B705" s="16" t="s">
        <v>525</v>
      </c>
      <c r="C705" s="77" t="str">
        <f>VLOOKUP(B705,IF(A705="COMPOSICAO",S!$A:$D,I!$A:$D),2,FALSE)</f>
        <v>SEGURO DE VIDA E ACIDENTE EM GRUPO</v>
      </c>
      <c r="D705" s="77"/>
      <c r="E705" s="77"/>
      <c r="F705" s="77"/>
      <c r="G705" s="16" t="str">
        <f>VLOOKUP(B705,IF(A705="COMPOSICAO",S!$A:$D,I!$A:$D),3,FALSE)</f>
        <v>UN</v>
      </c>
      <c r="H705" s="29">
        <v>4.4999999999999997E-3</v>
      </c>
      <c r="I705" s="17">
        <f>IF(A705="COMPOSICAO",VLOOKUP("TOTAL - "&amp;B705,COMPOSICAO_AUX_3!$A:$J,10,FALSE),VLOOKUP(B705,I!$A:$D,4,FALSE))</f>
        <v>12.54</v>
      </c>
      <c r="J705" s="80">
        <f t="shared" si="26"/>
        <v>0.05</v>
      </c>
      <c r="K705" s="81"/>
    </row>
    <row r="706" spans="1:11" ht="15" customHeight="1" x14ac:dyDescent="0.25">
      <c r="A706" s="16" t="s">
        <v>306</v>
      </c>
      <c r="B706" s="16" t="s">
        <v>526</v>
      </c>
      <c r="C706" s="77" t="str">
        <f>VLOOKUP(B706,IF(A706="COMPOSICAO",S!$A:$D,I!$A:$D),2,FALSE)</f>
        <v>CESTA BÁSICA</v>
      </c>
      <c r="D706" s="77"/>
      <c r="E706" s="77"/>
      <c r="F706" s="77"/>
      <c r="G706" s="16" t="str">
        <f>VLOOKUP(B706,IF(A706="COMPOSICAO",S!$A:$D,I!$A:$D),3,FALSE)</f>
        <v>UN</v>
      </c>
      <c r="H706" s="29">
        <v>4.4999999999999997E-3</v>
      </c>
      <c r="I706" s="17">
        <f>IF(A706="COMPOSICAO",VLOOKUP("TOTAL - "&amp;B706,COMPOSICAO_AUX_3!$A:$J,10,FALSE),VLOOKUP(B706,I!$A:$D,4,FALSE))</f>
        <v>140</v>
      </c>
      <c r="J706" s="80">
        <f t="shared" si="26"/>
        <v>0.63</v>
      </c>
      <c r="K706" s="81"/>
    </row>
    <row r="707" spans="1:11" ht="15" customHeight="1" x14ac:dyDescent="0.25">
      <c r="A707" s="16" t="s">
        <v>306</v>
      </c>
      <c r="B707" s="16" t="s">
        <v>527</v>
      </c>
      <c r="C707" s="77" t="str">
        <f>VLOOKUP(B707,IF(A707="COMPOSICAO",S!$A:$D,I!$A:$D),2,FALSE)</f>
        <v>EXAMES ADMISSIONAIS/DEMISSIONAIS (CHECKUP)</v>
      </c>
      <c r="D707" s="77"/>
      <c r="E707" s="77"/>
      <c r="F707" s="77"/>
      <c r="G707" s="16" t="str">
        <f>VLOOKUP(B707,IF(A707="COMPOSICAO",S!$A:$D,I!$A:$D),3,FALSE)</f>
        <v>CJ</v>
      </c>
      <c r="H707" s="29">
        <v>4.0000000000000002E-4</v>
      </c>
      <c r="I707" s="17">
        <f>IF(A707="COMPOSICAO",VLOOKUP("TOTAL - "&amp;B707,COMPOSICAO_AUX_3!$A:$J,10,FALSE),VLOOKUP(B707,I!$A:$D,4,FALSE))</f>
        <v>300</v>
      </c>
      <c r="J707" s="80">
        <f t="shared" si="26"/>
        <v>0.12</v>
      </c>
      <c r="K707" s="81"/>
    </row>
    <row r="708" spans="1:11" ht="15" customHeight="1" x14ac:dyDescent="0.25">
      <c r="A708" s="16" t="s">
        <v>306</v>
      </c>
      <c r="B708" s="16" t="s">
        <v>800</v>
      </c>
      <c r="C708" s="77" t="str">
        <f>VLOOKUP(B708,IF(A708="COMPOSICAO",S!$A:$D,I!$A:$D),2,FALSE)</f>
        <v>SERROTE 40CM</v>
      </c>
      <c r="D708" s="77"/>
      <c r="E708" s="77"/>
      <c r="F708" s="77"/>
      <c r="G708" s="16" t="str">
        <f>VLOOKUP(B708,IF(A708="COMPOSICAO",S!$A:$D,I!$A:$D),3,FALSE)</f>
        <v>UN</v>
      </c>
      <c r="H708" s="29">
        <v>1E-4</v>
      </c>
      <c r="I708" s="17">
        <f>IF(A708="COMPOSICAO",VLOOKUP("TOTAL - "&amp;B708,COMPOSICAO_AUX_3!$A:$J,10,FALSE),VLOOKUP(B708,I!$A:$D,4,FALSE))</f>
        <v>18.579999999999998</v>
      </c>
      <c r="J708" s="80">
        <f t="shared" si="26"/>
        <v>0</v>
      </c>
      <c r="K708" s="81"/>
    </row>
    <row r="709" spans="1:11" ht="15" customHeight="1" x14ac:dyDescent="0.25">
      <c r="A709" s="16" t="s">
        <v>306</v>
      </c>
      <c r="B709" s="16" t="s">
        <v>801</v>
      </c>
      <c r="C709" s="77" t="str">
        <f>VLOOKUP(B709,IF(A709="COMPOSICAO",S!$A:$D,I!$A:$D),2,FALSE)</f>
        <v>FORMÃO GRANDE</v>
      </c>
      <c r="D709" s="77"/>
      <c r="E709" s="77"/>
      <c r="F709" s="77"/>
      <c r="G709" s="16" t="str">
        <f>VLOOKUP(B709,IF(A709="COMPOSICAO",S!$A:$D,I!$A:$D),3,FALSE)</f>
        <v>UN</v>
      </c>
      <c r="H709" s="29">
        <v>2.0000000000000001E-4</v>
      </c>
      <c r="I709" s="17">
        <f>IF(A709="COMPOSICAO",VLOOKUP("TOTAL - "&amp;B709,COMPOSICAO_AUX_3!$A:$J,10,FALSE),VLOOKUP(B709,I!$A:$D,4,FALSE))</f>
        <v>15.15</v>
      </c>
      <c r="J709" s="80">
        <f t="shared" si="26"/>
        <v>0</v>
      </c>
      <c r="K709" s="81"/>
    </row>
    <row r="710" spans="1:11" ht="15" customHeight="1" x14ac:dyDescent="0.25">
      <c r="A710" s="16" t="s">
        <v>306</v>
      </c>
      <c r="B710" s="16" t="s">
        <v>713</v>
      </c>
      <c r="C710" s="77" t="str">
        <f>VLOOKUP(B710,IF(A710="COMPOSICAO",S!$A:$D,I!$A:$D),2,FALSE)</f>
        <v>CHAVE DE FENDA CHATA 30 CM</v>
      </c>
      <c r="D710" s="77"/>
      <c r="E710" s="77"/>
      <c r="F710" s="77"/>
      <c r="G710" s="16" t="str">
        <f>VLOOKUP(B710,IF(A710="COMPOSICAO",S!$A:$D,I!$A:$D),3,FALSE)</f>
        <v>UN</v>
      </c>
      <c r="H710" s="29">
        <v>2.0000000000000001E-4</v>
      </c>
      <c r="I710" s="17">
        <f>IF(A710="COMPOSICAO",VLOOKUP("TOTAL - "&amp;B710,COMPOSICAO_AUX_3!$A:$J,10,FALSE),VLOOKUP(B710,I!$A:$D,4,FALSE))</f>
        <v>22.89</v>
      </c>
      <c r="J710" s="80">
        <f t="shared" si="26"/>
        <v>0</v>
      </c>
      <c r="K710" s="81"/>
    </row>
    <row r="711" spans="1:11" ht="15" customHeight="1" x14ac:dyDescent="0.25">
      <c r="A711" s="16" t="s">
        <v>306</v>
      </c>
      <c r="B711" s="16" t="s">
        <v>528</v>
      </c>
      <c r="C711" s="77" t="str">
        <f>VLOOKUP(B711,IF(A711="COMPOSICAO",S!$A:$D,I!$A:$D),2,FALSE)</f>
        <v>PROTETOR AURICULAR</v>
      </c>
      <c r="D711" s="77"/>
      <c r="E711" s="77"/>
      <c r="F711" s="77"/>
      <c r="G711" s="16" t="str">
        <f>VLOOKUP(B711,IF(A711="COMPOSICAO",S!$A:$D,I!$A:$D),3,FALSE)</f>
        <v>UN</v>
      </c>
      <c r="H711" s="29">
        <v>4.4999999999999997E-3</v>
      </c>
      <c r="I711" s="17">
        <f>IF(A711="COMPOSICAO",VLOOKUP("TOTAL - "&amp;B711,COMPOSICAO_AUX_3!$A:$J,10,FALSE),VLOOKUP(B711,I!$A:$D,4,FALSE))</f>
        <v>4.9000000000000004</v>
      </c>
      <c r="J711" s="80">
        <f t="shared" si="26"/>
        <v>0.02</v>
      </c>
      <c r="K711" s="81"/>
    </row>
    <row r="712" spans="1:11" ht="15" customHeight="1" x14ac:dyDescent="0.25">
      <c r="A712" s="16" t="s">
        <v>306</v>
      </c>
      <c r="B712" s="16" t="s">
        <v>529</v>
      </c>
      <c r="C712" s="77" t="str">
        <f>VLOOKUP(B712,IF(A712="COMPOSICAO",S!$A:$D,I!$A:$D),2,FALSE)</f>
        <v>PROTETOR SOLAR FPS 30 COM 120ML</v>
      </c>
      <c r="D712" s="77"/>
      <c r="E712" s="77"/>
      <c r="F712" s="77"/>
      <c r="G712" s="16" t="str">
        <f>VLOOKUP(B712,IF(A712="COMPOSICAO",S!$A:$D,I!$A:$D),3,FALSE)</f>
        <v>UN</v>
      </c>
      <c r="H712" s="29">
        <v>1.8E-3</v>
      </c>
      <c r="I712" s="17">
        <f>IF(A712="COMPOSICAO",VLOOKUP("TOTAL - "&amp;B712,COMPOSICAO_AUX_3!$A:$J,10,FALSE),VLOOKUP(B712,I!$A:$D,4,FALSE))</f>
        <v>35.9</v>
      </c>
      <c r="J712" s="80">
        <f t="shared" si="26"/>
        <v>0.06</v>
      </c>
      <c r="K712" s="81"/>
    </row>
    <row r="713" spans="1:11" ht="30" customHeight="1" x14ac:dyDescent="0.25">
      <c r="A713" s="16" t="s">
        <v>306</v>
      </c>
      <c r="B713" s="16" t="s">
        <v>530</v>
      </c>
      <c r="C713" s="77" t="str">
        <f>VLOOKUP(B713,IF(A713="COMPOSICAO",S!$A:$D,I!$A:$D),2,FALSE)</f>
        <v>REFEIÇÃO - CAFÉ DA MANHÃ ( CAFÉ COM LEITE E DOIS PÃES COM MANTEIGA)</v>
      </c>
      <c r="D713" s="77"/>
      <c r="E713" s="77"/>
      <c r="F713" s="77"/>
      <c r="G713" s="16" t="str">
        <f>VLOOKUP(B713,IF(A713="COMPOSICAO",S!$A:$D,I!$A:$D),3,FALSE)</f>
        <v>UN</v>
      </c>
      <c r="H713" s="29">
        <v>0.1018</v>
      </c>
      <c r="I713" s="17">
        <f>IF(A713="COMPOSICAO",VLOOKUP("TOTAL - "&amp;B713,COMPOSICAO_AUX_3!$A:$J,10,FALSE),VLOOKUP(B713,I!$A:$D,4,FALSE))</f>
        <v>4.5</v>
      </c>
      <c r="J713" s="80">
        <f t="shared" si="26"/>
        <v>0.45</v>
      </c>
      <c r="K713" s="81"/>
    </row>
    <row r="714" spans="1:11" ht="15" customHeight="1" x14ac:dyDescent="0.25">
      <c r="A714" s="16" t="s">
        <v>306</v>
      </c>
      <c r="B714" s="16" t="s">
        <v>802</v>
      </c>
      <c r="C714" s="77" t="str">
        <f>VLOOKUP(B714,IF(A714="COMPOSICAO",S!$A:$D,I!$A:$D),2,FALSE)</f>
        <v>MARTELO COM UNHA</v>
      </c>
      <c r="D714" s="77"/>
      <c r="E714" s="77"/>
      <c r="F714" s="77"/>
      <c r="G714" s="16" t="str">
        <f>VLOOKUP(B714,IF(A714="COMPOSICAO",S!$A:$D,I!$A:$D),3,FALSE)</f>
        <v>UN</v>
      </c>
      <c r="H714" s="29">
        <v>2.0000000000000001E-4</v>
      </c>
      <c r="I714" s="17">
        <f>IF(A714="COMPOSICAO",VLOOKUP("TOTAL - "&amp;B714,COMPOSICAO_AUX_3!$A:$J,10,FALSE),VLOOKUP(B714,I!$A:$D,4,FALSE))</f>
        <v>37.9</v>
      </c>
      <c r="J714" s="80">
        <f t="shared" si="26"/>
        <v>0</v>
      </c>
      <c r="K714" s="81"/>
    </row>
    <row r="715" spans="1:11" ht="30" customHeight="1" x14ac:dyDescent="0.25">
      <c r="A715" s="16" t="s">
        <v>306</v>
      </c>
      <c r="B715" s="16" t="s">
        <v>803</v>
      </c>
      <c r="C715" s="77" t="str">
        <f>VLOOKUP(B715,IF(A715="COMPOSICAO",S!$A:$D,I!$A:$D),2,FALSE)</f>
        <v>FURADEIRA E PARAFUSADEIRA ELETRICA BOSCH OU SIMILAR PROFISSIONAL</v>
      </c>
      <c r="D715" s="77"/>
      <c r="E715" s="77"/>
      <c r="F715" s="77"/>
      <c r="G715" s="16" t="str">
        <f>VLOOKUP(B715,IF(A715="COMPOSICAO",S!$A:$D,I!$A:$D),3,FALSE)</f>
        <v>UN</v>
      </c>
      <c r="H715" s="29">
        <v>1E-4</v>
      </c>
      <c r="I715" s="17">
        <f>IF(A715="COMPOSICAO",VLOOKUP("TOTAL - "&amp;B715,COMPOSICAO_AUX_3!$A:$J,10,FALSE),VLOOKUP(B715,I!$A:$D,4,FALSE))</f>
        <v>246</v>
      </c>
      <c r="J715" s="80">
        <f t="shared" si="26"/>
        <v>0.02</v>
      </c>
      <c r="K715" s="81"/>
    </row>
    <row r="716" spans="1:11" ht="15" customHeight="1" x14ac:dyDescent="0.25">
      <c r="A716" s="16" t="s">
        <v>306</v>
      </c>
      <c r="B716" s="16" t="s">
        <v>804</v>
      </c>
      <c r="C716" s="77" t="str">
        <f>VLOOKUP(B716,IF(A716="COMPOSICAO",S!$A:$D,I!$A:$D),2,FALSE)</f>
        <v>SERRA CIRCULAR ELETRICA PORTATIL</v>
      </c>
      <c r="D716" s="77"/>
      <c r="E716" s="77"/>
      <c r="F716" s="77"/>
      <c r="G716" s="16" t="str">
        <f>VLOOKUP(B716,IF(A716="COMPOSICAO",S!$A:$D,I!$A:$D),3,FALSE)</f>
        <v>UN</v>
      </c>
      <c r="H716" s="29">
        <v>1E-4</v>
      </c>
      <c r="I716" s="17">
        <f>IF(A716="COMPOSICAO",VLOOKUP("TOTAL - "&amp;B716,COMPOSICAO_AUX_3!$A:$J,10,FALSE),VLOOKUP(B716,I!$A:$D,4,FALSE))</f>
        <v>518</v>
      </c>
      <c r="J716" s="80">
        <f t="shared" si="26"/>
        <v>0.05</v>
      </c>
      <c r="K716" s="81"/>
    </row>
    <row r="717" spans="1:11" ht="30" customHeight="1" x14ac:dyDescent="0.25">
      <c r="A717" s="16" t="s">
        <v>306</v>
      </c>
      <c r="B717" s="20">
        <v>12892</v>
      </c>
      <c r="C717" s="77" t="str">
        <f>VLOOKUP(B717,IF(A717="COMPOSICAO",S!$A:$D,I!$A:$D),2,FALSE)</f>
        <v>LUVA RASPA DE COURO, CANO CURTO (PUNHO *7* CM)</v>
      </c>
      <c r="D717" s="77"/>
      <c r="E717" s="77"/>
      <c r="F717" s="77"/>
      <c r="G717" s="16" t="str">
        <f>VLOOKUP(B717,IF(A717="COMPOSICAO",S!$A:$D,I!$A:$D),3,FALSE)</f>
        <v>PAR</v>
      </c>
      <c r="H717" s="29">
        <v>2.3E-3</v>
      </c>
      <c r="I717" s="17">
        <f>IF(A717="COMPOSICAO",VLOOKUP("TOTAL - "&amp;B717,COMPOSICAO_AUX_3!$A:$J,10,FALSE),VLOOKUP(B717,I!$A:$D,4,FALSE))</f>
        <v>12.91</v>
      </c>
      <c r="J717" s="80">
        <f t="shared" si="26"/>
        <v>0.02</v>
      </c>
      <c r="K717" s="81"/>
    </row>
    <row r="718" spans="1:11" ht="30" customHeight="1" x14ac:dyDescent="0.25">
      <c r="A718" s="16" t="s">
        <v>306</v>
      </c>
      <c r="B718" s="20">
        <v>12893</v>
      </c>
      <c r="C718" s="77" t="str">
        <f>VLOOKUP(B718,IF(A718="COMPOSICAO",S!$A:$D,I!$A:$D),2,FALSE)</f>
        <v>BOTA DE SEGURANCA COM BIQUEIRA DE ACO E COLARINHO ACOLCHOADO</v>
      </c>
      <c r="D718" s="77"/>
      <c r="E718" s="77"/>
      <c r="F718" s="77"/>
      <c r="G718" s="16" t="str">
        <f>VLOOKUP(B718,IF(A718="COMPOSICAO",S!$A:$D,I!$A:$D),3,FALSE)</f>
        <v>PAR</v>
      </c>
      <c r="H718" s="29">
        <v>6.9999999999999999E-4</v>
      </c>
      <c r="I718" s="17">
        <f>IF(A718="COMPOSICAO",VLOOKUP("TOTAL - "&amp;B718,COMPOSICAO_AUX_3!$A:$J,10,FALSE),VLOOKUP(B718,I!$A:$D,4,FALSE))</f>
        <v>68.88</v>
      </c>
      <c r="J718" s="80">
        <f t="shared" si="26"/>
        <v>0.04</v>
      </c>
      <c r="K718" s="81"/>
    </row>
    <row r="719" spans="1:11" ht="30" customHeight="1" x14ac:dyDescent="0.25">
      <c r="A719" s="16" t="s">
        <v>306</v>
      </c>
      <c r="B719" s="20">
        <v>12894</v>
      </c>
      <c r="C719" s="77" t="str">
        <f>VLOOKUP(B719,IF(A719="COMPOSICAO",S!$A:$D,I!$A:$D),2,FALSE)</f>
        <v>CAPA PARA CHUVA EM PVC COM FORRO DE POLIESTER, COM CAPUZ (AMARELA OU AZUL)</v>
      </c>
      <c r="D719" s="77"/>
      <c r="E719" s="77"/>
      <c r="F719" s="77"/>
      <c r="G719" s="16" t="str">
        <f>VLOOKUP(B719,IF(A719="COMPOSICAO",S!$A:$D,I!$A:$D),3,FALSE)</f>
        <v>UN</v>
      </c>
      <c r="H719" s="29">
        <v>2.0000000000000001E-4</v>
      </c>
      <c r="I719" s="17">
        <f>IF(A719="COMPOSICAO",VLOOKUP("TOTAL - "&amp;B719,COMPOSICAO_AUX_3!$A:$J,10,FALSE),VLOOKUP(B719,I!$A:$D,4,FALSE))</f>
        <v>18.649999999999999</v>
      </c>
      <c r="J719" s="80">
        <f t="shared" si="26"/>
        <v>0</v>
      </c>
      <c r="K719" s="81"/>
    </row>
    <row r="720" spans="1:11" ht="30" customHeight="1" x14ac:dyDescent="0.25">
      <c r="A720" s="16" t="s">
        <v>306</v>
      </c>
      <c r="B720" s="20">
        <v>12895</v>
      </c>
      <c r="C720" s="77" t="str">
        <f>VLOOKUP(B720,IF(A720="COMPOSICAO",S!$A:$D,I!$A:$D),2,FALSE)</f>
        <v>CAPACETE DE SEGURANCA ABA FRONTAL COM SUSPENSAO DE POLIETILENO, SEM JUGULAR (CLASSE B)</v>
      </c>
      <c r="D720" s="77"/>
      <c r="E720" s="77"/>
      <c r="F720" s="77"/>
      <c r="G720" s="16" t="str">
        <f>VLOOKUP(B720,IF(A720="COMPOSICAO",S!$A:$D,I!$A:$D),3,FALSE)</f>
        <v>UN</v>
      </c>
      <c r="H720" s="29">
        <v>5.9999999999999995E-4</v>
      </c>
      <c r="I720" s="17">
        <f>IF(A720="COMPOSICAO",VLOOKUP("TOTAL - "&amp;B720,COMPOSICAO_AUX_3!$A:$J,10,FALSE),VLOOKUP(B720,I!$A:$D,4,FALSE))</f>
        <v>14.35</v>
      </c>
      <c r="J720" s="80">
        <f t="shared" si="26"/>
        <v>0</v>
      </c>
      <c r="K720" s="81"/>
    </row>
    <row r="721" spans="1:13" ht="15" customHeight="1" x14ac:dyDescent="0.25">
      <c r="A721" s="23" t="s">
        <v>805</v>
      </c>
      <c r="B721" s="24"/>
      <c r="C721" s="24"/>
      <c r="D721" s="24"/>
      <c r="E721" s="24"/>
      <c r="F721" s="24"/>
      <c r="G721" s="25"/>
      <c r="H721" s="26"/>
      <c r="I721" s="27"/>
      <c r="J721" s="80">
        <f>SUM(J700:K720)</f>
        <v>2.8400000000000003</v>
      </c>
      <c r="K721" s="81"/>
    </row>
    <row r="722" spans="1:13" ht="15" customHeight="1" x14ac:dyDescent="0.25">
      <c r="A722" s="3"/>
      <c r="B722" s="3"/>
      <c r="C722" s="3"/>
      <c r="D722" s="3"/>
      <c r="E722" s="3"/>
      <c r="F722" s="3"/>
      <c r="G722" s="3"/>
      <c r="H722" s="3"/>
      <c r="I722" s="3"/>
      <c r="J722" s="3"/>
      <c r="K722" s="3"/>
    </row>
    <row r="723" spans="1:13" ht="15" customHeight="1" x14ac:dyDescent="0.25">
      <c r="A723" s="10" t="s">
        <v>295</v>
      </c>
      <c r="B723" s="10" t="s">
        <v>31</v>
      </c>
      <c r="C723" s="82" t="s">
        <v>7</v>
      </c>
      <c r="D723" s="83"/>
      <c r="E723" s="83"/>
      <c r="F723" s="83"/>
      <c r="G723" s="6" t="s">
        <v>32</v>
      </c>
      <c r="H723" s="6" t="s">
        <v>296</v>
      </c>
      <c r="I723" s="6" t="s">
        <v>297</v>
      </c>
      <c r="J723" s="57" t="s">
        <v>9</v>
      </c>
      <c r="K723" s="58"/>
    </row>
    <row r="724" spans="1:13" ht="30" customHeight="1" x14ac:dyDescent="0.25">
      <c r="A724" s="6" t="s">
        <v>11</v>
      </c>
      <c r="B724" s="6" t="s">
        <v>668</v>
      </c>
      <c r="C724" s="91" t="str">
        <f>VLOOKUP(B724,S!$A:$D,2,FALSE)</f>
        <v>CONCRETO SIMPLES FABRICADO NA OBRA, FCK=13,5 MPA (B1/B2), SEM LANÇAMENTO E ADENSAMENTO</v>
      </c>
      <c r="D724" s="91"/>
      <c r="E724" s="91"/>
      <c r="F724" s="92"/>
      <c r="G724" s="6" t="str">
        <f>VLOOKUP(B724,S!$A:$D,3,FALSE)</f>
        <v>M3</v>
      </c>
      <c r="H724" s="21"/>
      <c r="I724" s="21">
        <f>J731</f>
        <v>387.07</v>
      </c>
      <c r="J724" s="76"/>
      <c r="K724" s="72"/>
      <c r="L724" s="21">
        <f>VLOOKUP(B724,S!$A:$D,4,FALSE)</f>
        <v>418.61</v>
      </c>
      <c r="M724" s="6" t="str">
        <f>IF(ROUND((L724-I724),2)=0,"OK, confere com a tabela.",IF(ROUND((L724-I724),2)&lt;0,"ACIMA ("&amp;TEXT(ROUND(I724*100/L724,4),"0,0000")&amp;" %) da tabela.","ABAIXO ("&amp;TEXT(ROUND(I724*100/L724,4),"0,0000")&amp;" %) da tabela."))</f>
        <v>ABAIXO (92,4655 %) da tabela.</v>
      </c>
    </row>
    <row r="725" spans="1:13" ht="30" customHeight="1" x14ac:dyDescent="0.25">
      <c r="A725" s="16" t="s">
        <v>306</v>
      </c>
      <c r="B725" s="20">
        <v>367</v>
      </c>
      <c r="C725" s="77" t="str">
        <f>VLOOKUP(B725,IF(A725="COMPOSICAO",S!$A:$D,I!$A:$D),2,FALSE)</f>
        <v>AREIA GROSSA - POSTO JAZIDA/FORNECEDOR (RETIRADO NA JAZIDA, SEM TRANSPORTE)</v>
      </c>
      <c r="D725" s="77"/>
      <c r="E725" s="77"/>
      <c r="F725" s="77"/>
      <c r="G725" s="16" t="str">
        <f>VLOOKUP(B725,IF(A725="COMPOSICAO",S!$A:$D,I!$A:$D),3,FALSE)</f>
        <v>M3</v>
      </c>
      <c r="H725" s="30">
        <v>0.94299999999999995</v>
      </c>
      <c r="I725" s="17">
        <f>IF(A725="COMPOSICAO",VLOOKUP("TOTAL - "&amp;B725,COMPOSICAO_AUX_3!$A:$J,10,FALSE),VLOOKUP(B725,I!$A:$D,4,FALSE))</f>
        <v>53.34</v>
      </c>
      <c r="J725" s="80">
        <f t="shared" ref="J725:J730" si="27">TRUNC(H725*I725,2)</f>
        <v>50.29</v>
      </c>
      <c r="K725" s="81"/>
    </row>
    <row r="726" spans="1:13" ht="15" customHeight="1" x14ac:dyDescent="0.25">
      <c r="A726" s="16" t="s">
        <v>306</v>
      </c>
      <c r="B726" s="20">
        <v>1379</v>
      </c>
      <c r="C726" s="77" t="str">
        <f>VLOOKUP(B726,IF(A726="COMPOSICAO",S!$A:$D,I!$A:$D),2,FALSE)</f>
        <v>CIMENTO PORTLAND COMPOSTO CP II-32</v>
      </c>
      <c r="D726" s="77"/>
      <c r="E726" s="77"/>
      <c r="F726" s="77"/>
      <c r="G726" s="16" t="str">
        <f>VLOOKUP(B726,IF(A726="COMPOSICAO",S!$A:$D,I!$A:$D),3,FALSE)</f>
        <v>KG</v>
      </c>
      <c r="H726" s="17">
        <v>255</v>
      </c>
      <c r="I726" s="17">
        <f>IF(A726="COMPOSICAO",VLOOKUP("TOTAL - "&amp;B726,COMPOSICAO_AUX_3!$A:$J,10,FALSE),VLOOKUP(B726,I!$A:$D,4,FALSE))</f>
        <v>0.7</v>
      </c>
      <c r="J726" s="80">
        <f t="shared" si="27"/>
        <v>178.5</v>
      </c>
      <c r="K726" s="81"/>
    </row>
    <row r="727" spans="1:13" ht="30" customHeight="1" x14ac:dyDescent="0.25">
      <c r="A727" s="16" t="s">
        <v>306</v>
      </c>
      <c r="B727" s="20">
        <v>4718</v>
      </c>
      <c r="C727" s="77" t="str">
        <f>VLOOKUP(B727,IF(A727="COMPOSICAO",S!$A:$D,I!$A:$D),2,FALSE)</f>
        <v>PEDRA BRITADA N. 2 (19 A 38 MM) POSTO PEDREIRA/FORNECEDOR, SEM FRETE</v>
      </c>
      <c r="D727" s="77"/>
      <c r="E727" s="77"/>
      <c r="F727" s="77"/>
      <c r="G727" s="16" t="str">
        <f>VLOOKUP(B727,IF(A727="COMPOSICAO",S!$A:$D,I!$A:$D),3,FALSE)</f>
        <v>M3</v>
      </c>
      <c r="H727" s="30">
        <v>0.627</v>
      </c>
      <c r="I727" s="17">
        <f>IF(A727="COMPOSICAO",VLOOKUP("TOTAL - "&amp;B727,COMPOSICAO_AUX_3!$A:$J,10,FALSE),VLOOKUP(B727,I!$A:$D,4,FALSE))</f>
        <v>92.5</v>
      </c>
      <c r="J727" s="80">
        <f t="shared" si="27"/>
        <v>57.99</v>
      </c>
      <c r="K727" s="81"/>
    </row>
    <row r="728" spans="1:13" ht="30" customHeight="1" x14ac:dyDescent="0.25">
      <c r="A728" s="16" t="s">
        <v>306</v>
      </c>
      <c r="B728" s="20">
        <v>4721</v>
      </c>
      <c r="C728" s="77" t="str">
        <f>VLOOKUP(B728,IF(A728="COMPOSICAO",S!$A:$D,I!$A:$D),2,FALSE)</f>
        <v>PEDRA BRITADA N. 1 (9,5 a 19 MM) POSTO PEDREIRA/FORNECEDOR, SEM FRETE</v>
      </c>
      <c r="D728" s="77"/>
      <c r="E728" s="77"/>
      <c r="F728" s="77"/>
      <c r="G728" s="16" t="str">
        <f>VLOOKUP(B728,IF(A728="COMPOSICAO",S!$A:$D,I!$A:$D),3,FALSE)</f>
        <v>M3</v>
      </c>
      <c r="H728" s="30">
        <v>0.20899999999999999</v>
      </c>
      <c r="I728" s="17">
        <f>IF(A728="COMPOSICAO",VLOOKUP("TOTAL - "&amp;B728,COMPOSICAO_AUX_3!$A:$J,10,FALSE),VLOOKUP(B728,I!$A:$D,4,FALSE))</f>
        <v>92.01</v>
      </c>
      <c r="J728" s="80">
        <f t="shared" si="27"/>
        <v>19.23</v>
      </c>
      <c r="K728" s="81"/>
    </row>
    <row r="729" spans="1:13" ht="15" customHeight="1" x14ac:dyDescent="0.25">
      <c r="A729" s="16" t="s">
        <v>306</v>
      </c>
      <c r="B729" s="20">
        <v>6111</v>
      </c>
      <c r="C729" s="77" t="str">
        <f>VLOOKUP(B729,IF(A729="COMPOSICAO",S!$A:$D,I!$A:$D),2,FALSE)</f>
        <v>SERVENTE DE OBRAS</v>
      </c>
      <c r="D729" s="77"/>
      <c r="E729" s="77"/>
      <c r="F729" s="77"/>
      <c r="G729" s="16" t="str">
        <f>VLOOKUP(B729,IF(A729="COMPOSICAO",S!$A:$D,I!$A:$D),3,FALSE)</f>
        <v>H</v>
      </c>
      <c r="H729" s="17">
        <v>6</v>
      </c>
      <c r="I729" s="17">
        <f>IF(A729="COMPOSICAO",VLOOKUP("TOTAL - "&amp;B729,COMPOSICAO_AUX_3!$A:$J,10,FALSE),VLOOKUP(B729,I!$A:$D,4,FALSE))</f>
        <v>10.6</v>
      </c>
      <c r="J729" s="80">
        <f t="shared" si="27"/>
        <v>63.6</v>
      </c>
      <c r="K729" s="81"/>
    </row>
    <row r="730" spans="1:13" ht="15" customHeight="1" x14ac:dyDescent="0.25">
      <c r="A730" s="16" t="s">
        <v>302</v>
      </c>
      <c r="B730" s="16" t="s">
        <v>319</v>
      </c>
      <c r="C730" s="77" t="str">
        <f>VLOOKUP(B730,IF(A730="COMPOSICAO",S!$A:$D,I!$A:$D),2,FALSE)</f>
        <v>ENCARGOS COMPLEMENTARES - SERVENTE</v>
      </c>
      <c r="D730" s="77"/>
      <c r="E730" s="77"/>
      <c r="F730" s="77"/>
      <c r="G730" s="16" t="str">
        <f>VLOOKUP(B730,IF(A730="COMPOSICAO",S!$A:$D,I!$A:$D),3,FALSE)</f>
        <v>H</v>
      </c>
      <c r="H730" s="17">
        <v>6</v>
      </c>
      <c r="I730" s="17">
        <f>IF(A730="COMPOSICAO",VLOOKUP("TOTAL - "&amp;B730,COMPOSICAO_AUX_3!$A:$J,10,FALSE),VLOOKUP(B730,I!$A:$D,4,FALSE))</f>
        <v>2.9100000000000006</v>
      </c>
      <c r="J730" s="80">
        <f t="shared" si="27"/>
        <v>17.46</v>
      </c>
      <c r="K730" s="81"/>
    </row>
    <row r="731" spans="1:13" ht="15" customHeight="1" x14ac:dyDescent="0.25">
      <c r="A731" s="23" t="s">
        <v>806</v>
      </c>
      <c r="B731" s="24"/>
      <c r="C731" s="24"/>
      <c r="D731" s="24"/>
      <c r="E731" s="24"/>
      <c r="F731" s="24"/>
      <c r="G731" s="25"/>
      <c r="H731" s="26"/>
      <c r="I731" s="27"/>
      <c r="J731" s="80">
        <f>SUM(J724:K730)</f>
        <v>387.07</v>
      </c>
      <c r="K731" s="81"/>
    </row>
    <row r="732" spans="1:13" ht="15" customHeight="1" x14ac:dyDescent="0.25">
      <c r="A732" s="3"/>
      <c r="B732" s="3"/>
      <c r="C732" s="3"/>
      <c r="D732" s="3"/>
      <c r="E732" s="3"/>
      <c r="F732" s="3"/>
      <c r="G732" s="3"/>
      <c r="H732" s="3"/>
      <c r="I732" s="3"/>
      <c r="J732" s="3"/>
      <c r="K732" s="3"/>
    </row>
    <row r="733" spans="1:13" ht="15" customHeight="1" x14ac:dyDescent="0.25">
      <c r="A733" s="10" t="s">
        <v>295</v>
      </c>
      <c r="B733" s="10" t="s">
        <v>31</v>
      </c>
      <c r="C733" s="82" t="s">
        <v>7</v>
      </c>
      <c r="D733" s="83"/>
      <c r="E733" s="83"/>
      <c r="F733" s="83"/>
      <c r="G733" s="6" t="s">
        <v>32</v>
      </c>
      <c r="H733" s="6" t="s">
        <v>296</v>
      </c>
      <c r="I733" s="6" t="s">
        <v>297</v>
      </c>
      <c r="J733" s="57" t="s">
        <v>9</v>
      </c>
      <c r="K733" s="58"/>
    </row>
    <row r="734" spans="1:13" ht="45" customHeight="1" x14ac:dyDescent="0.25">
      <c r="A734" s="6" t="s">
        <v>11</v>
      </c>
      <c r="B734" s="6" t="s">
        <v>669</v>
      </c>
      <c r="C734" s="91" t="str">
        <f>VLOOKUP(B734,S!$A:$D,2,FALSE)</f>
        <v>LANÇAMENTO DE CONCRETO SIMPLES FABRICADO NA OBRA, INCLUSIVE ADENSAMENTO E ACABAMENTO EM PEÇAS DA SUPERESTRUTURA</v>
      </c>
      <c r="D734" s="91"/>
      <c r="E734" s="91"/>
      <c r="F734" s="92"/>
      <c r="G734" s="6" t="str">
        <f>VLOOKUP(B734,S!$A:$D,3,FALSE)</f>
        <v>M3</v>
      </c>
      <c r="H734" s="21"/>
      <c r="I734" s="21">
        <f>J743</f>
        <v>37.820000000000007</v>
      </c>
      <c r="J734" s="76"/>
      <c r="K734" s="72"/>
      <c r="L734" s="21">
        <f>VLOOKUP(B734,S!$A:$D,4,FALSE)</f>
        <v>37.11</v>
      </c>
      <c r="M734" s="6" t="str">
        <f>IF(ROUND((L734-I734),2)=0,"OK, confere com a tabela.",IF(ROUND((L734-I734),2)&lt;0,"ACIMA ("&amp;TEXT(ROUND(I734*100/L734,4),"0,0000")&amp;" %) da tabela.","ABAIXO ("&amp;TEXT(ROUND(I734*100/L734,4),"0,0000")&amp;" %) da tabela."))</f>
        <v>ACIMA (101,9132 %) da tabela.</v>
      </c>
    </row>
    <row r="735" spans="1:13" ht="15" customHeight="1" x14ac:dyDescent="0.25">
      <c r="A735" s="16" t="s">
        <v>306</v>
      </c>
      <c r="B735" s="20">
        <v>378</v>
      </c>
      <c r="C735" s="77" t="str">
        <f>VLOOKUP(B735,IF(A735="COMPOSICAO",S!$A:$D,I!$A:$D),2,FALSE)</f>
        <v>ARMADOR</v>
      </c>
      <c r="D735" s="77"/>
      <c r="E735" s="77"/>
      <c r="F735" s="77"/>
      <c r="G735" s="16" t="str">
        <f>VLOOKUP(B735,IF(A735="COMPOSICAO",S!$A:$D,I!$A:$D),3,FALSE)</f>
        <v>H</v>
      </c>
      <c r="H735" s="17">
        <v>0.18</v>
      </c>
      <c r="I735" s="17">
        <f>IF(A735="COMPOSICAO",VLOOKUP("TOTAL - "&amp;B735,COMPOSICAO_AUX_3!$A:$J,10,FALSE),VLOOKUP(B735,I!$A:$D,4,FALSE))</f>
        <v>14.93</v>
      </c>
      <c r="J735" s="80">
        <f t="shared" ref="J735:J742" si="28">TRUNC(H735*I735,2)</f>
        <v>2.68</v>
      </c>
      <c r="K735" s="81"/>
    </row>
    <row r="736" spans="1:13" ht="15" customHeight="1" x14ac:dyDescent="0.25">
      <c r="A736" s="16" t="s">
        <v>306</v>
      </c>
      <c r="B736" s="20">
        <v>1213</v>
      </c>
      <c r="C736" s="77" t="str">
        <f>VLOOKUP(B736,IF(A736="COMPOSICAO",S!$A:$D,I!$A:$D),2,FALSE)</f>
        <v>CARPINTEIRO DE FORMAS</v>
      </c>
      <c r="D736" s="77"/>
      <c r="E736" s="77"/>
      <c r="F736" s="77"/>
      <c r="G736" s="16" t="str">
        <f>VLOOKUP(B736,IF(A736="COMPOSICAO",S!$A:$D,I!$A:$D),3,FALSE)</f>
        <v>H</v>
      </c>
      <c r="H736" s="17">
        <v>0.36</v>
      </c>
      <c r="I736" s="17">
        <f>IF(A736="COMPOSICAO",VLOOKUP("TOTAL - "&amp;B736,COMPOSICAO_AUX_3!$A:$J,10,FALSE),VLOOKUP(B736,I!$A:$D,4,FALSE))</f>
        <v>14.93</v>
      </c>
      <c r="J736" s="80">
        <f t="shared" si="28"/>
        <v>5.37</v>
      </c>
      <c r="K736" s="81"/>
    </row>
    <row r="737" spans="1:13" ht="15" customHeight="1" x14ac:dyDescent="0.25">
      <c r="A737" s="16" t="s">
        <v>306</v>
      </c>
      <c r="B737" s="20">
        <v>4750</v>
      </c>
      <c r="C737" s="77" t="str">
        <f>VLOOKUP(B737,IF(A737="COMPOSICAO",S!$A:$D,I!$A:$D),2,FALSE)</f>
        <v>PEDREIRO</v>
      </c>
      <c r="D737" s="77"/>
      <c r="E737" s="77"/>
      <c r="F737" s="77"/>
      <c r="G737" s="16" t="str">
        <f>VLOOKUP(B737,IF(A737="COMPOSICAO",S!$A:$D,I!$A:$D),3,FALSE)</f>
        <v>H</v>
      </c>
      <c r="H737" s="17">
        <v>0.36</v>
      </c>
      <c r="I737" s="17">
        <f>IF(A737="COMPOSICAO",VLOOKUP("TOTAL - "&amp;B737,COMPOSICAO_AUX_3!$A:$J,10,FALSE),VLOOKUP(B737,I!$A:$D,4,FALSE))</f>
        <v>14.93</v>
      </c>
      <c r="J737" s="80">
        <f t="shared" si="28"/>
        <v>5.37</v>
      </c>
      <c r="K737" s="81"/>
    </row>
    <row r="738" spans="1:13" ht="15" customHeight="1" x14ac:dyDescent="0.25">
      <c r="A738" s="16" t="s">
        <v>306</v>
      </c>
      <c r="B738" s="20">
        <v>6111</v>
      </c>
      <c r="C738" s="77" t="str">
        <f>VLOOKUP(B738,IF(A738="COMPOSICAO",S!$A:$D,I!$A:$D),2,FALSE)</f>
        <v>SERVENTE DE OBRAS</v>
      </c>
      <c r="D738" s="77"/>
      <c r="E738" s="77"/>
      <c r="F738" s="77"/>
      <c r="G738" s="16" t="str">
        <f>VLOOKUP(B738,IF(A738="COMPOSICAO",S!$A:$D,I!$A:$D),3,FALSE)</f>
        <v>H</v>
      </c>
      <c r="H738" s="17">
        <v>1.62</v>
      </c>
      <c r="I738" s="17">
        <f>IF(A738="COMPOSICAO",VLOOKUP("TOTAL - "&amp;B738,COMPOSICAO_AUX_3!$A:$J,10,FALSE),VLOOKUP(B738,I!$A:$D,4,FALSE))</f>
        <v>10.6</v>
      </c>
      <c r="J738" s="80">
        <f t="shared" si="28"/>
        <v>17.170000000000002</v>
      </c>
      <c r="K738" s="81"/>
    </row>
    <row r="739" spans="1:13" ht="15" customHeight="1" x14ac:dyDescent="0.25">
      <c r="A739" s="16" t="s">
        <v>302</v>
      </c>
      <c r="B739" s="16" t="s">
        <v>319</v>
      </c>
      <c r="C739" s="77" t="str">
        <f>VLOOKUP(B739,IF(A739="COMPOSICAO",S!$A:$D,I!$A:$D),2,FALSE)</f>
        <v>ENCARGOS COMPLEMENTARES - SERVENTE</v>
      </c>
      <c r="D739" s="77"/>
      <c r="E739" s="77"/>
      <c r="F739" s="77"/>
      <c r="G739" s="16" t="str">
        <f>VLOOKUP(B739,IF(A739="COMPOSICAO",S!$A:$D,I!$A:$D),3,FALSE)</f>
        <v>H</v>
      </c>
      <c r="H739" s="17">
        <v>1.62</v>
      </c>
      <c r="I739" s="17">
        <f>IF(A739="COMPOSICAO",VLOOKUP("TOTAL - "&amp;B739,COMPOSICAO_AUX_3!$A:$J,10,FALSE),VLOOKUP(B739,I!$A:$D,4,FALSE))</f>
        <v>2.9100000000000006</v>
      </c>
      <c r="J739" s="80">
        <f t="shared" si="28"/>
        <v>4.71</v>
      </c>
      <c r="K739" s="81"/>
    </row>
    <row r="740" spans="1:13" ht="15" customHeight="1" x14ac:dyDescent="0.25">
      <c r="A740" s="16" t="s">
        <v>302</v>
      </c>
      <c r="B740" s="16" t="s">
        <v>383</v>
      </c>
      <c r="C740" s="77" t="str">
        <f>VLOOKUP(B740,IF(A740="COMPOSICAO",S!$A:$D,I!$A:$D),2,FALSE)</f>
        <v>ENCARGOS COMPLEMENTARES - PEDREIRO</v>
      </c>
      <c r="D740" s="77"/>
      <c r="E740" s="77"/>
      <c r="F740" s="77"/>
      <c r="G740" s="16" t="str">
        <f>VLOOKUP(B740,IF(A740="COMPOSICAO",S!$A:$D,I!$A:$D),3,FALSE)</f>
        <v>H</v>
      </c>
      <c r="H740" s="17">
        <v>0.36</v>
      </c>
      <c r="I740" s="17">
        <f>IF(A740="COMPOSICAO",VLOOKUP("TOTAL - "&amp;B740,COMPOSICAO_AUX_3!$A:$J,10,FALSE),VLOOKUP(B740,I!$A:$D,4,FALSE))</f>
        <v>2.8000000000000003</v>
      </c>
      <c r="J740" s="80">
        <f t="shared" si="28"/>
        <v>1</v>
      </c>
      <c r="K740" s="81"/>
    </row>
    <row r="741" spans="1:13" ht="15" customHeight="1" x14ac:dyDescent="0.25">
      <c r="A741" s="16" t="s">
        <v>302</v>
      </c>
      <c r="B741" s="16" t="s">
        <v>666</v>
      </c>
      <c r="C741" s="77" t="str">
        <f>VLOOKUP(B741,IF(A741="COMPOSICAO",S!$A:$D,I!$A:$D),2,FALSE)</f>
        <v>ENCARGOS COMPLEMENTARES - CARPINTEIRO</v>
      </c>
      <c r="D741" s="77"/>
      <c r="E741" s="77"/>
      <c r="F741" s="77"/>
      <c r="G741" s="16" t="str">
        <f>VLOOKUP(B741,IF(A741="COMPOSICAO",S!$A:$D,I!$A:$D),3,FALSE)</f>
        <v>H</v>
      </c>
      <c r="H741" s="17">
        <v>0.36</v>
      </c>
      <c r="I741" s="17">
        <f>IF(A741="COMPOSICAO",VLOOKUP("TOTAL - "&amp;B741,COMPOSICAO_AUX_3!$A:$J,10,FALSE),VLOOKUP(B741,I!$A:$D,4,FALSE))</f>
        <v>2.8400000000000003</v>
      </c>
      <c r="J741" s="80">
        <f t="shared" si="28"/>
        <v>1.02</v>
      </c>
      <c r="K741" s="81"/>
    </row>
    <row r="742" spans="1:13" ht="15" customHeight="1" x14ac:dyDescent="0.25">
      <c r="A742" s="16" t="s">
        <v>302</v>
      </c>
      <c r="B742" s="16" t="s">
        <v>674</v>
      </c>
      <c r="C742" s="77" t="str">
        <f>VLOOKUP(B742,IF(A742="COMPOSICAO",S!$A:$D,I!$A:$D),2,FALSE)</f>
        <v>ENCARGOS COMPLEMENTARES - ARMADOR</v>
      </c>
      <c r="D742" s="77"/>
      <c r="E742" s="77"/>
      <c r="F742" s="77"/>
      <c r="G742" s="16" t="str">
        <f>VLOOKUP(B742,IF(A742="COMPOSICAO",S!$A:$D,I!$A:$D),3,FALSE)</f>
        <v>H</v>
      </c>
      <c r="H742" s="17">
        <v>0.18</v>
      </c>
      <c r="I742" s="17">
        <f>IF(A742="COMPOSICAO",VLOOKUP("TOTAL - "&amp;B742,COMPOSICAO_AUX_3!$A:$J,10,FALSE),VLOOKUP(B742,I!$A:$D,4,FALSE))</f>
        <v>2.7800000000000002</v>
      </c>
      <c r="J742" s="80">
        <f t="shared" si="28"/>
        <v>0.5</v>
      </c>
      <c r="K742" s="81"/>
    </row>
    <row r="743" spans="1:13" ht="15" customHeight="1" x14ac:dyDescent="0.25">
      <c r="A743" s="23" t="s">
        <v>807</v>
      </c>
      <c r="B743" s="24"/>
      <c r="C743" s="24"/>
      <c r="D743" s="24"/>
      <c r="E743" s="24"/>
      <c r="F743" s="24"/>
      <c r="G743" s="25"/>
      <c r="H743" s="26"/>
      <c r="I743" s="27"/>
      <c r="J743" s="80">
        <f>SUM(J734:K742)</f>
        <v>37.820000000000007</v>
      </c>
      <c r="K743" s="81"/>
    </row>
    <row r="744" spans="1:13" ht="15" customHeight="1" x14ac:dyDescent="0.25">
      <c r="A744" s="3"/>
      <c r="B744" s="3"/>
      <c r="C744" s="3"/>
      <c r="D744" s="3"/>
      <c r="E744" s="3"/>
      <c r="F744" s="3"/>
      <c r="G744" s="3"/>
      <c r="H744" s="3"/>
      <c r="I744" s="3"/>
      <c r="J744" s="3"/>
      <c r="K744" s="3"/>
    </row>
    <row r="745" spans="1:13" ht="15" customHeight="1" x14ac:dyDescent="0.25">
      <c r="A745" s="10" t="s">
        <v>295</v>
      </c>
      <c r="B745" s="10" t="s">
        <v>31</v>
      </c>
      <c r="C745" s="82" t="s">
        <v>7</v>
      </c>
      <c r="D745" s="83"/>
      <c r="E745" s="83"/>
      <c r="F745" s="83"/>
      <c r="G745" s="6" t="s">
        <v>32</v>
      </c>
      <c r="H745" s="6" t="s">
        <v>296</v>
      </c>
      <c r="I745" s="6" t="s">
        <v>297</v>
      </c>
      <c r="J745" s="57" t="s">
        <v>9</v>
      </c>
      <c r="K745" s="58"/>
    </row>
    <row r="746" spans="1:13" ht="30" customHeight="1" x14ac:dyDescent="0.25">
      <c r="A746" s="6" t="s">
        <v>11</v>
      </c>
      <c r="B746" s="6" t="s">
        <v>671</v>
      </c>
      <c r="C746" s="91" t="str">
        <f>VLOOKUP(B746,S!$A:$D,2,FALSE)</f>
        <v>CONCRETO SIMPLES FCK= 15 MPA (B1/B2), FABRICADO NA OBRA, SEM LANÇAMENTO E ADENSAMENTO</v>
      </c>
      <c r="D746" s="91"/>
      <c r="E746" s="91"/>
      <c r="F746" s="92"/>
      <c r="G746" s="6" t="str">
        <f>VLOOKUP(B746,S!$A:$D,3,FALSE)</f>
        <v>M3</v>
      </c>
      <c r="H746" s="21"/>
      <c r="I746" s="21">
        <f>J753</f>
        <v>412.07</v>
      </c>
      <c r="J746" s="76"/>
      <c r="K746" s="72"/>
      <c r="L746" s="21">
        <f>VLOOKUP(B746,S!$A:$D,4,FALSE)</f>
        <v>441.46</v>
      </c>
      <c r="M746" s="6" t="str">
        <f>IF(ROUND((L746-I746),2)=0,"OK, confere com a tabela.",IF(ROUND((L746-I746),2)&lt;0,"ACIMA ("&amp;TEXT(ROUND(I746*100/L746,4),"0,0000")&amp;" %) da tabela.","ABAIXO ("&amp;TEXT(ROUND(I746*100/L746,4),"0,0000")&amp;" %) da tabela."))</f>
        <v>ABAIXO (93,3425 %) da tabela.</v>
      </c>
    </row>
    <row r="747" spans="1:13" ht="30" customHeight="1" x14ac:dyDescent="0.25">
      <c r="A747" s="16" t="s">
        <v>306</v>
      </c>
      <c r="B747" s="20">
        <v>367</v>
      </c>
      <c r="C747" s="77" t="str">
        <f>VLOOKUP(B747,IF(A747="COMPOSICAO",S!$A:$D,I!$A:$D),2,FALSE)</f>
        <v>AREIA GROSSA - POSTO JAZIDA/FORNECEDOR (RETIRADO NA JAZIDA, SEM TRANSPORTE)</v>
      </c>
      <c r="D747" s="77"/>
      <c r="E747" s="77"/>
      <c r="F747" s="77"/>
      <c r="G747" s="16" t="str">
        <f>VLOOKUP(B747,IF(A747="COMPOSICAO",S!$A:$D,I!$A:$D),3,FALSE)</f>
        <v>M3</v>
      </c>
      <c r="H747" s="30">
        <v>0.91300000000000003</v>
      </c>
      <c r="I747" s="17">
        <f>IF(A747="COMPOSICAO",VLOOKUP("TOTAL - "&amp;B747,COMPOSICAO_AUX_3!$A:$J,10,FALSE),VLOOKUP(B747,I!$A:$D,4,FALSE))</f>
        <v>53.34</v>
      </c>
      <c r="J747" s="80">
        <f t="shared" ref="J747:J752" si="29">TRUNC(H747*I747,2)</f>
        <v>48.69</v>
      </c>
      <c r="K747" s="81"/>
    </row>
    <row r="748" spans="1:13" ht="15" customHeight="1" x14ac:dyDescent="0.25">
      <c r="A748" s="16" t="s">
        <v>306</v>
      </c>
      <c r="B748" s="20">
        <v>1379</v>
      </c>
      <c r="C748" s="77" t="str">
        <f>VLOOKUP(B748,IF(A748="COMPOSICAO",S!$A:$D,I!$A:$D),2,FALSE)</f>
        <v>CIMENTO PORTLAND COMPOSTO CP II-32</v>
      </c>
      <c r="D748" s="77"/>
      <c r="E748" s="77"/>
      <c r="F748" s="77"/>
      <c r="G748" s="16" t="str">
        <f>VLOOKUP(B748,IF(A748="COMPOSICAO",S!$A:$D,I!$A:$D),3,FALSE)</f>
        <v>KG</v>
      </c>
      <c r="H748" s="17">
        <v>293</v>
      </c>
      <c r="I748" s="17">
        <f>IF(A748="COMPOSICAO",VLOOKUP("TOTAL - "&amp;B748,COMPOSICAO_AUX_3!$A:$J,10,FALSE),VLOOKUP(B748,I!$A:$D,4,FALSE))</f>
        <v>0.7</v>
      </c>
      <c r="J748" s="80">
        <f t="shared" si="29"/>
        <v>205.1</v>
      </c>
      <c r="K748" s="81"/>
    </row>
    <row r="749" spans="1:13" ht="30" customHeight="1" x14ac:dyDescent="0.25">
      <c r="A749" s="16" t="s">
        <v>306</v>
      </c>
      <c r="B749" s="20">
        <v>4718</v>
      </c>
      <c r="C749" s="77" t="str">
        <f>VLOOKUP(B749,IF(A749="COMPOSICAO",S!$A:$D,I!$A:$D),2,FALSE)</f>
        <v>PEDRA BRITADA N. 2 (19 A 38 MM) POSTO PEDREIRA/FORNECEDOR, SEM FRETE</v>
      </c>
      <c r="D749" s="77"/>
      <c r="E749" s="77"/>
      <c r="F749" s="77"/>
      <c r="G749" s="16" t="str">
        <f>VLOOKUP(B749,IF(A749="COMPOSICAO",S!$A:$D,I!$A:$D),3,FALSE)</f>
        <v>M3</v>
      </c>
      <c r="H749" s="30">
        <v>0.627</v>
      </c>
      <c r="I749" s="17">
        <f>IF(A749="COMPOSICAO",VLOOKUP("TOTAL - "&amp;B749,COMPOSICAO_AUX_3!$A:$J,10,FALSE),VLOOKUP(B749,I!$A:$D,4,FALSE))</f>
        <v>92.5</v>
      </c>
      <c r="J749" s="80">
        <f t="shared" si="29"/>
        <v>57.99</v>
      </c>
      <c r="K749" s="81"/>
    </row>
    <row r="750" spans="1:13" ht="30" customHeight="1" x14ac:dyDescent="0.25">
      <c r="A750" s="16" t="s">
        <v>306</v>
      </c>
      <c r="B750" s="20">
        <v>4721</v>
      </c>
      <c r="C750" s="77" t="str">
        <f>VLOOKUP(B750,IF(A750="COMPOSICAO",S!$A:$D,I!$A:$D),2,FALSE)</f>
        <v>PEDRA BRITADA N. 1 (9,5 a 19 MM) POSTO PEDREIRA/FORNECEDOR, SEM FRETE</v>
      </c>
      <c r="D750" s="77"/>
      <c r="E750" s="77"/>
      <c r="F750" s="77"/>
      <c r="G750" s="16" t="str">
        <f>VLOOKUP(B750,IF(A750="COMPOSICAO",S!$A:$D,I!$A:$D),3,FALSE)</f>
        <v>M3</v>
      </c>
      <c r="H750" s="30">
        <v>0.20899999999999999</v>
      </c>
      <c r="I750" s="17">
        <f>IF(A750="COMPOSICAO",VLOOKUP("TOTAL - "&amp;B750,COMPOSICAO_AUX_3!$A:$J,10,FALSE),VLOOKUP(B750,I!$A:$D,4,FALSE))</f>
        <v>92.01</v>
      </c>
      <c r="J750" s="80">
        <f t="shared" si="29"/>
        <v>19.23</v>
      </c>
      <c r="K750" s="81"/>
    </row>
    <row r="751" spans="1:13" ht="15" customHeight="1" x14ac:dyDescent="0.25">
      <c r="A751" s="16" t="s">
        <v>306</v>
      </c>
      <c r="B751" s="20">
        <v>6111</v>
      </c>
      <c r="C751" s="77" t="str">
        <f>VLOOKUP(B751,IF(A751="COMPOSICAO",S!$A:$D,I!$A:$D),2,FALSE)</f>
        <v>SERVENTE DE OBRAS</v>
      </c>
      <c r="D751" s="77"/>
      <c r="E751" s="77"/>
      <c r="F751" s="77"/>
      <c r="G751" s="16" t="str">
        <f>VLOOKUP(B751,IF(A751="COMPOSICAO",S!$A:$D,I!$A:$D),3,FALSE)</f>
        <v>H</v>
      </c>
      <c r="H751" s="17">
        <v>6</v>
      </c>
      <c r="I751" s="17">
        <f>IF(A751="COMPOSICAO",VLOOKUP("TOTAL - "&amp;B751,COMPOSICAO_AUX_3!$A:$J,10,FALSE),VLOOKUP(B751,I!$A:$D,4,FALSE))</f>
        <v>10.6</v>
      </c>
      <c r="J751" s="80">
        <f t="shared" si="29"/>
        <v>63.6</v>
      </c>
      <c r="K751" s="81"/>
    </row>
    <row r="752" spans="1:13" ht="15" customHeight="1" x14ac:dyDescent="0.25">
      <c r="A752" s="16" t="s">
        <v>302</v>
      </c>
      <c r="B752" s="16" t="s">
        <v>319</v>
      </c>
      <c r="C752" s="77" t="str">
        <f>VLOOKUP(B752,IF(A752="COMPOSICAO",S!$A:$D,I!$A:$D),2,FALSE)</f>
        <v>ENCARGOS COMPLEMENTARES - SERVENTE</v>
      </c>
      <c r="D752" s="77"/>
      <c r="E752" s="77"/>
      <c r="F752" s="77"/>
      <c r="G752" s="16" t="str">
        <f>VLOOKUP(B752,IF(A752="COMPOSICAO",S!$A:$D,I!$A:$D),3,FALSE)</f>
        <v>H</v>
      </c>
      <c r="H752" s="17">
        <v>6</v>
      </c>
      <c r="I752" s="17">
        <f>IF(A752="COMPOSICAO",VLOOKUP("TOTAL - "&amp;B752,COMPOSICAO_AUX_3!$A:$J,10,FALSE),VLOOKUP(B752,I!$A:$D,4,FALSE))</f>
        <v>2.9100000000000006</v>
      </c>
      <c r="J752" s="80">
        <f t="shared" si="29"/>
        <v>17.46</v>
      </c>
      <c r="K752" s="81"/>
    </row>
    <row r="753" spans="1:13" ht="15" customHeight="1" x14ac:dyDescent="0.25">
      <c r="A753" s="23" t="s">
        <v>808</v>
      </c>
      <c r="B753" s="24"/>
      <c r="C753" s="24"/>
      <c r="D753" s="24"/>
      <c r="E753" s="24"/>
      <c r="F753" s="24"/>
      <c r="G753" s="25"/>
      <c r="H753" s="26"/>
      <c r="I753" s="27"/>
      <c r="J753" s="80">
        <f>SUM(J746:K752)</f>
        <v>412.07</v>
      </c>
      <c r="K753" s="81"/>
    </row>
    <row r="754" spans="1:13" ht="15" customHeight="1" x14ac:dyDescent="0.25">
      <c r="A754" s="3"/>
      <c r="B754" s="3"/>
      <c r="C754" s="3"/>
      <c r="D754" s="3"/>
      <c r="E754" s="3"/>
      <c r="F754" s="3"/>
      <c r="G754" s="3"/>
      <c r="H754" s="3"/>
      <c r="I754" s="3"/>
      <c r="J754" s="3"/>
      <c r="K754" s="3"/>
    </row>
    <row r="755" spans="1:13" ht="15" customHeight="1" x14ac:dyDescent="0.25">
      <c r="A755" s="10" t="s">
        <v>295</v>
      </c>
      <c r="B755" s="10" t="s">
        <v>31</v>
      </c>
      <c r="C755" s="82" t="s">
        <v>7</v>
      </c>
      <c r="D755" s="83"/>
      <c r="E755" s="83"/>
      <c r="F755" s="83"/>
      <c r="G755" s="6" t="s">
        <v>32</v>
      </c>
      <c r="H755" s="6" t="s">
        <v>296</v>
      </c>
      <c r="I755" s="6" t="s">
        <v>297</v>
      </c>
      <c r="J755" s="57" t="s">
        <v>9</v>
      </c>
      <c r="K755" s="58"/>
    </row>
    <row r="756" spans="1:13" ht="15" customHeight="1" x14ac:dyDescent="0.25">
      <c r="A756" s="6" t="s">
        <v>11</v>
      </c>
      <c r="B756" s="6" t="s">
        <v>674</v>
      </c>
      <c r="C756" s="91" t="str">
        <f>VLOOKUP(B756,S!$A:$D,2,FALSE)</f>
        <v>ENCARGOS COMPLEMENTARES - ARMADOR</v>
      </c>
      <c r="D756" s="91"/>
      <c r="E756" s="91"/>
      <c r="F756" s="92"/>
      <c r="G756" s="6" t="str">
        <f>VLOOKUP(B756,S!$A:$D,3,FALSE)</f>
        <v>H</v>
      </c>
      <c r="H756" s="21"/>
      <c r="I756" s="21">
        <f>J773</f>
        <v>2.7800000000000002</v>
      </c>
      <c r="J756" s="76"/>
      <c r="K756" s="72"/>
      <c r="L756" s="21">
        <f>VLOOKUP(B756,S!$A:$D,4,FALSE)</f>
        <v>2.82</v>
      </c>
      <c r="M756" s="6" t="str">
        <f>IF(ROUND((L756-I756),2)=0,"OK, confere com a tabela.",IF(ROUND((L756-I756),2)&lt;0,"ACIMA ("&amp;TEXT(ROUND(I756*100/L756,4),"0,0000")&amp;" %) da tabela.","ABAIXO ("&amp;TEXT(ROUND(I756*100/L756,4),"0,0000")&amp;" %) da tabela."))</f>
        <v>ABAIXO (98,5816 %) da tabela.</v>
      </c>
    </row>
    <row r="757" spans="1:13" ht="15" customHeight="1" x14ac:dyDescent="0.25">
      <c r="A757" s="16" t="s">
        <v>306</v>
      </c>
      <c r="B757" s="16" t="s">
        <v>519</v>
      </c>
      <c r="C757" s="77" t="str">
        <f>VLOOKUP(B757,IF(A757="COMPOSICAO",S!$A:$D,I!$A:$D),2,FALSE)</f>
        <v>ALMOÇO (PARTICIPAÇÃO DO EMPREGADOR)</v>
      </c>
      <c r="D757" s="77"/>
      <c r="E757" s="77"/>
      <c r="F757" s="77"/>
      <c r="G757" s="16" t="str">
        <f>VLOOKUP(B757,IF(A757="COMPOSICAO",S!$A:$D,I!$A:$D),3,FALSE)</f>
        <v>UN</v>
      </c>
      <c r="H757" s="29">
        <v>0.1018</v>
      </c>
      <c r="I757" s="17">
        <f>IF(A757="COMPOSICAO",VLOOKUP("TOTAL - "&amp;B757,COMPOSICAO_AUX_3!$A:$J,10,FALSE),VLOOKUP(B757,I!$A:$D,4,FALSE))</f>
        <v>10</v>
      </c>
      <c r="J757" s="80">
        <f t="shared" ref="J757:J772" si="30">TRUNC(H757*I757,2)</f>
        <v>1.01</v>
      </c>
      <c r="K757" s="81"/>
    </row>
    <row r="758" spans="1:13" ht="15" customHeight="1" x14ac:dyDescent="0.25">
      <c r="A758" s="16" t="s">
        <v>306</v>
      </c>
      <c r="B758" s="16" t="s">
        <v>520</v>
      </c>
      <c r="C758" s="77" t="str">
        <f>VLOOKUP(B758,IF(A758="COMPOSICAO",S!$A:$D,I!$A:$D),2,FALSE)</f>
        <v>FARDAMENTO</v>
      </c>
      <c r="D758" s="77"/>
      <c r="E758" s="77"/>
      <c r="F758" s="77"/>
      <c r="G758" s="16" t="str">
        <f>VLOOKUP(B758,IF(A758="COMPOSICAO",S!$A:$D,I!$A:$D),3,FALSE)</f>
        <v>UN</v>
      </c>
      <c r="H758" s="29">
        <v>1.5E-3</v>
      </c>
      <c r="I758" s="17">
        <f>IF(A758="COMPOSICAO",VLOOKUP("TOTAL - "&amp;B758,COMPOSICAO_AUX_3!$A:$J,10,FALSE),VLOOKUP(B758,I!$A:$D,4,FALSE))</f>
        <v>78.53</v>
      </c>
      <c r="J758" s="80">
        <f t="shared" si="30"/>
        <v>0.11</v>
      </c>
      <c r="K758" s="81"/>
    </row>
    <row r="759" spans="1:13" ht="15" customHeight="1" x14ac:dyDescent="0.25">
      <c r="A759" s="16" t="s">
        <v>306</v>
      </c>
      <c r="B759" s="16" t="s">
        <v>521</v>
      </c>
      <c r="C759" s="77" t="str">
        <f>VLOOKUP(B759,IF(A759="COMPOSICAO",S!$A:$D,I!$A:$D),2,FALSE)</f>
        <v>ÓCULOS BRANCO PROTEÇÃO</v>
      </c>
      <c r="D759" s="77"/>
      <c r="E759" s="77"/>
      <c r="F759" s="77"/>
      <c r="G759" s="16" t="str">
        <f>VLOOKUP(B759,IF(A759="COMPOSICAO",S!$A:$D,I!$A:$D),3,FALSE)</f>
        <v>PR</v>
      </c>
      <c r="H759" s="29">
        <v>8.0000000000000004E-4</v>
      </c>
      <c r="I759" s="17">
        <f>IF(A759="COMPOSICAO",VLOOKUP("TOTAL - "&amp;B759,COMPOSICAO_AUX_3!$A:$J,10,FALSE),VLOOKUP(B759,I!$A:$D,4,FALSE))</f>
        <v>5.9</v>
      </c>
      <c r="J759" s="80">
        <f t="shared" si="30"/>
        <v>0</v>
      </c>
      <c r="K759" s="81"/>
    </row>
    <row r="760" spans="1:13" ht="15" customHeight="1" x14ac:dyDescent="0.25">
      <c r="A760" s="16" t="s">
        <v>306</v>
      </c>
      <c r="B760" s="16" t="s">
        <v>522</v>
      </c>
      <c r="C760" s="77" t="str">
        <f>VLOOKUP(B760,IF(A760="COMPOSICAO",S!$A:$D,I!$A:$D),2,FALSE)</f>
        <v>VALE TRANSPORTE</v>
      </c>
      <c r="D760" s="77"/>
      <c r="E760" s="77"/>
      <c r="F760" s="77"/>
      <c r="G760" s="16" t="str">
        <f>VLOOKUP(B760,IF(A760="COMPOSICAO",S!$A:$D,I!$A:$D),3,FALSE)</f>
        <v>UN</v>
      </c>
      <c r="H760" s="29">
        <v>6.54E-2</v>
      </c>
      <c r="I760" s="17">
        <f>IF(A760="COMPOSICAO",VLOOKUP("TOTAL - "&amp;B760,COMPOSICAO_AUX_3!$A:$J,10,FALSE),VLOOKUP(B760,I!$A:$D,4,FALSE))</f>
        <v>4</v>
      </c>
      <c r="J760" s="80">
        <f t="shared" si="30"/>
        <v>0.26</v>
      </c>
      <c r="K760" s="81"/>
    </row>
    <row r="761" spans="1:13" ht="15" customHeight="1" x14ac:dyDescent="0.25">
      <c r="A761" s="16" t="s">
        <v>306</v>
      </c>
      <c r="B761" s="16" t="s">
        <v>525</v>
      </c>
      <c r="C761" s="77" t="str">
        <f>VLOOKUP(B761,IF(A761="COMPOSICAO",S!$A:$D,I!$A:$D),2,FALSE)</f>
        <v>SEGURO DE VIDA E ACIDENTE EM GRUPO</v>
      </c>
      <c r="D761" s="77"/>
      <c r="E761" s="77"/>
      <c r="F761" s="77"/>
      <c r="G761" s="16" t="str">
        <f>VLOOKUP(B761,IF(A761="COMPOSICAO",S!$A:$D,I!$A:$D),3,FALSE)</f>
        <v>UN</v>
      </c>
      <c r="H761" s="29">
        <v>4.4999999999999997E-3</v>
      </c>
      <c r="I761" s="17">
        <f>IF(A761="COMPOSICAO",VLOOKUP("TOTAL - "&amp;B761,COMPOSICAO_AUX_3!$A:$J,10,FALSE),VLOOKUP(B761,I!$A:$D,4,FALSE))</f>
        <v>12.54</v>
      </c>
      <c r="J761" s="80">
        <f t="shared" si="30"/>
        <v>0.05</v>
      </c>
      <c r="K761" s="81"/>
    </row>
    <row r="762" spans="1:13" ht="15" customHeight="1" x14ac:dyDescent="0.25">
      <c r="A762" s="16" t="s">
        <v>306</v>
      </c>
      <c r="B762" s="16" t="s">
        <v>526</v>
      </c>
      <c r="C762" s="77" t="str">
        <f>VLOOKUP(B762,IF(A762="COMPOSICAO",S!$A:$D,I!$A:$D),2,FALSE)</f>
        <v>CESTA BÁSICA</v>
      </c>
      <c r="D762" s="77"/>
      <c r="E762" s="77"/>
      <c r="F762" s="77"/>
      <c r="G762" s="16" t="str">
        <f>VLOOKUP(B762,IF(A762="COMPOSICAO",S!$A:$D,I!$A:$D),3,FALSE)</f>
        <v>UN</v>
      </c>
      <c r="H762" s="29">
        <v>4.4999999999999997E-3</v>
      </c>
      <c r="I762" s="17">
        <f>IF(A762="COMPOSICAO",VLOOKUP("TOTAL - "&amp;B762,COMPOSICAO_AUX_3!$A:$J,10,FALSE),VLOOKUP(B762,I!$A:$D,4,FALSE))</f>
        <v>140</v>
      </c>
      <c r="J762" s="80">
        <f t="shared" si="30"/>
        <v>0.63</v>
      </c>
      <c r="K762" s="81"/>
    </row>
    <row r="763" spans="1:13" ht="15" customHeight="1" x14ac:dyDescent="0.25">
      <c r="A763" s="16" t="s">
        <v>306</v>
      </c>
      <c r="B763" s="16" t="s">
        <v>527</v>
      </c>
      <c r="C763" s="77" t="str">
        <f>VLOOKUP(B763,IF(A763="COMPOSICAO",S!$A:$D,I!$A:$D),2,FALSE)</f>
        <v>EXAMES ADMISSIONAIS/DEMISSIONAIS (CHECKUP)</v>
      </c>
      <c r="D763" s="77"/>
      <c r="E763" s="77"/>
      <c r="F763" s="77"/>
      <c r="G763" s="16" t="str">
        <f>VLOOKUP(B763,IF(A763="COMPOSICAO",S!$A:$D,I!$A:$D),3,FALSE)</f>
        <v>CJ</v>
      </c>
      <c r="H763" s="29">
        <v>4.0000000000000002E-4</v>
      </c>
      <c r="I763" s="17">
        <f>IF(A763="COMPOSICAO",VLOOKUP("TOTAL - "&amp;B763,COMPOSICAO_AUX_3!$A:$J,10,FALSE),VLOOKUP(B763,I!$A:$D,4,FALSE))</f>
        <v>300</v>
      </c>
      <c r="J763" s="80">
        <f t="shared" si="30"/>
        <v>0.12</v>
      </c>
      <c r="K763" s="81"/>
    </row>
    <row r="764" spans="1:13" ht="15" customHeight="1" x14ac:dyDescent="0.25">
      <c r="A764" s="16" t="s">
        <v>306</v>
      </c>
      <c r="B764" s="16" t="s">
        <v>809</v>
      </c>
      <c r="C764" s="77" t="str">
        <f>VLOOKUP(B764,IF(A764="COMPOSICAO",S!$A:$D,I!$A:$D),2,FALSE)</f>
        <v>ARCO DE SERRA</v>
      </c>
      <c r="D764" s="77"/>
      <c r="E764" s="77"/>
      <c r="F764" s="77"/>
      <c r="G764" s="16" t="str">
        <f>VLOOKUP(B764,IF(A764="COMPOSICAO",S!$A:$D,I!$A:$D),3,FALSE)</f>
        <v>UN</v>
      </c>
      <c r="H764" s="29">
        <v>2.0000000000000001E-4</v>
      </c>
      <c r="I764" s="17">
        <f>IF(A764="COMPOSICAO",VLOOKUP("TOTAL - "&amp;B764,COMPOSICAO_AUX_3!$A:$J,10,FALSE),VLOOKUP(B764,I!$A:$D,4,FALSE))</f>
        <v>21.25</v>
      </c>
      <c r="J764" s="80">
        <f t="shared" si="30"/>
        <v>0</v>
      </c>
      <c r="K764" s="81"/>
    </row>
    <row r="765" spans="1:13" ht="15" customHeight="1" x14ac:dyDescent="0.25">
      <c r="A765" s="16" t="s">
        <v>306</v>
      </c>
      <c r="B765" s="16" t="s">
        <v>810</v>
      </c>
      <c r="C765" s="77" t="str">
        <f>VLOOKUP(B765,IF(A765="COMPOSICAO",S!$A:$D,I!$A:$D),2,FALSE)</f>
        <v>TORQUESA</v>
      </c>
      <c r="D765" s="77"/>
      <c r="E765" s="77"/>
      <c r="F765" s="77"/>
      <c r="G765" s="16" t="str">
        <f>VLOOKUP(B765,IF(A765="COMPOSICAO",S!$A:$D,I!$A:$D),3,FALSE)</f>
        <v>UN</v>
      </c>
      <c r="H765" s="29">
        <v>2.0000000000000001E-4</v>
      </c>
      <c r="I765" s="17">
        <f>IF(A765="COMPOSICAO",VLOOKUP("TOTAL - "&amp;B765,COMPOSICAO_AUX_3!$A:$J,10,FALSE),VLOOKUP(B765,I!$A:$D,4,FALSE))</f>
        <v>17.899999999999999</v>
      </c>
      <c r="J765" s="80">
        <f t="shared" si="30"/>
        <v>0</v>
      </c>
      <c r="K765" s="81"/>
    </row>
    <row r="766" spans="1:13" ht="15" customHeight="1" x14ac:dyDescent="0.25">
      <c r="A766" s="16" t="s">
        <v>306</v>
      </c>
      <c r="B766" s="16" t="s">
        <v>528</v>
      </c>
      <c r="C766" s="77" t="str">
        <f>VLOOKUP(B766,IF(A766="COMPOSICAO",S!$A:$D,I!$A:$D),2,FALSE)</f>
        <v>PROTETOR AURICULAR</v>
      </c>
      <c r="D766" s="77"/>
      <c r="E766" s="77"/>
      <c r="F766" s="77"/>
      <c r="G766" s="16" t="str">
        <f>VLOOKUP(B766,IF(A766="COMPOSICAO",S!$A:$D,I!$A:$D),3,FALSE)</f>
        <v>UN</v>
      </c>
      <c r="H766" s="29">
        <v>4.4999999999999997E-3</v>
      </c>
      <c r="I766" s="17">
        <f>IF(A766="COMPOSICAO",VLOOKUP("TOTAL - "&amp;B766,COMPOSICAO_AUX_3!$A:$J,10,FALSE),VLOOKUP(B766,I!$A:$D,4,FALSE))</f>
        <v>4.9000000000000004</v>
      </c>
      <c r="J766" s="80">
        <f t="shared" si="30"/>
        <v>0.02</v>
      </c>
      <c r="K766" s="81"/>
    </row>
    <row r="767" spans="1:13" ht="15" customHeight="1" x14ac:dyDescent="0.25">
      <c r="A767" s="16" t="s">
        <v>306</v>
      </c>
      <c r="B767" s="16" t="s">
        <v>529</v>
      </c>
      <c r="C767" s="77" t="str">
        <f>VLOOKUP(B767,IF(A767="COMPOSICAO",S!$A:$D,I!$A:$D),2,FALSE)</f>
        <v>PROTETOR SOLAR FPS 30 COM 120ML</v>
      </c>
      <c r="D767" s="77"/>
      <c r="E767" s="77"/>
      <c r="F767" s="77"/>
      <c r="G767" s="16" t="str">
        <f>VLOOKUP(B767,IF(A767="COMPOSICAO",S!$A:$D,I!$A:$D),3,FALSE)</f>
        <v>UN</v>
      </c>
      <c r="H767" s="29">
        <v>1.8E-3</v>
      </c>
      <c r="I767" s="17">
        <f>IF(A767="COMPOSICAO",VLOOKUP("TOTAL - "&amp;B767,COMPOSICAO_AUX_3!$A:$J,10,FALSE),VLOOKUP(B767,I!$A:$D,4,FALSE))</f>
        <v>35.9</v>
      </c>
      <c r="J767" s="80">
        <f t="shared" si="30"/>
        <v>0.06</v>
      </c>
      <c r="K767" s="81"/>
    </row>
    <row r="768" spans="1:13" ht="30" customHeight="1" x14ac:dyDescent="0.25">
      <c r="A768" s="16" t="s">
        <v>306</v>
      </c>
      <c r="B768" s="16" t="s">
        <v>530</v>
      </c>
      <c r="C768" s="77" t="str">
        <f>VLOOKUP(B768,IF(A768="COMPOSICAO",S!$A:$D,I!$A:$D),2,FALSE)</f>
        <v>REFEIÇÃO - CAFÉ DA MANHÃ ( CAFÉ COM LEITE E DOIS PÃES COM MANTEIGA)</v>
      </c>
      <c r="D768" s="77"/>
      <c r="E768" s="77"/>
      <c r="F768" s="77"/>
      <c r="G768" s="16" t="str">
        <f>VLOOKUP(B768,IF(A768="COMPOSICAO",S!$A:$D,I!$A:$D),3,FALSE)</f>
        <v>UN</v>
      </c>
      <c r="H768" s="29">
        <v>0.1018</v>
      </c>
      <c r="I768" s="17">
        <f>IF(A768="COMPOSICAO",VLOOKUP("TOTAL - "&amp;B768,COMPOSICAO_AUX_3!$A:$J,10,FALSE),VLOOKUP(B768,I!$A:$D,4,FALSE))</f>
        <v>4.5</v>
      </c>
      <c r="J768" s="80">
        <f t="shared" si="30"/>
        <v>0.45</v>
      </c>
      <c r="K768" s="81"/>
    </row>
    <row r="769" spans="1:13" ht="30" customHeight="1" x14ac:dyDescent="0.25">
      <c r="A769" s="16" t="s">
        <v>306</v>
      </c>
      <c r="B769" s="20">
        <v>12892</v>
      </c>
      <c r="C769" s="77" t="str">
        <f>VLOOKUP(B769,IF(A769="COMPOSICAO",S!$A:$D,I!$A:$D),2,FALSE)</f>
        <v>LUVA RASPA DE COURO, CANO CURTO (PUNHO *7* CM)</v>
      </c>
      <c r="D769" s="77"/>
      <c r="E769" s="77"/>
      <c r="F769" s="77"/>
      <c r="G769" s="16" t="str">
        <f>VLOOKUP(B769,IF(A769="COMPOSICAO",S!$A:$D,I!$A:$D),3,FALSE)</f>
        <v>PAR</v>
      </c>
      <c r="H769" s="29">
        <v>2.3E-3</v>
      </c>
      <c r="I769" s="17">
        <f>IF(A769="COMPOSICAO",VLOOKUP("TOTAL - "&amp;B769,COMPOSICAO_AUX_3!$A:$J,10,FALSE),VLOOKUP(B769,I!$A:$D,4,FALSE))</f>
        <v>12.91</v>
      </c>
      <c r="J769" s="80">
        <f t="shared" si="30"/>
        <v>0.02</v>
      </c>
      <c r="K769" s="81"/>
    </row>
    <row r="770" spans="1:13" ht="30" customHeight="1" x14ac:dyDescent="0.25">
      <c r="A770" s="16" t="s">
        <v>306</v>
      </c>
      <c r="B770" s="20">
        <v>12893</v>
      </c>
      <c r="C770" s="77" t="str">
        <f>VLOOKUP(B770,IF(A770="COMPOSICAO",S!$A:$D,I!$A:$D),2,FALSE)</f>
        <v>BOTA DE SEGURANCA COM BIQUEIRA DE ACO E COLARINHO ACOLCHOADO</v>
      </c>
      <c r="D770" s="77"/>
      <c r="E770" s="77"/>
      <c r="F770" s="77"/>
      <c r="G770" s="16" t="str">
        <f>VLOOKUP(B770,IF(A770="COMPOSICAO",S!$A:$D,I!$A:$D),3,FALSE)</f>
        <v>PAR</v>
      </c>
      <c r="H770" s="29">
        <v>8.0000000000000004E-4</v>
      </c>
      <c r="I770" s="17">
        <f>IF(A770="COMPOSICAO",VLOOKUP("TOTAL - "&amp;B770,COMPOSICAO_AUX_3!$A:$J,10,FALSE),VLOOKUP(B770,I!$A:$D,4,FALSE))</f>
        <v>68.88</v>
      </c>
      <c r="J770" s="80">
        <f t="shared" si="30"/>
        <v>0.05</v>
      </c>
      <c r="K770" s="81"/>
    </row>
    <row r="771" spans="1:13" ht="30" customHeight="1" x14ac:dyDescent="0.25">
      <c r="A771" s="16" t="s">
        <v>306</v>
      </c>
      <c r="B771" s="20">
        <v>12894</v>
      </c>
      <c r="C771" s="77" t="str">
        <f>VLOOKUP(B771,IF(A771="COMPOSICAO",S!$A:$D,I!$A:$D),2,FALSE)</f>
        <v>CAPA PARA CHUVA EM PVC COM FORRO DE POLIESTER, COM CAPUZ (AMARELA OU AZUL)</v>
      </c>
      <c r="D771" s="77"/>
      <c r="E771" s="77"/>
      <c r="F771" s="77"/>
      <c r="G771" s="16" t="str">
        <f>VLOOKUP(B771,IF(A771="COMPOSICAO",S!$A:$D,I!$A:$D),3,FALSE)</f>
        <v>UN</v>
      </c>
      <c r="H771" s="29">
        <v>2.0000000000000001E-4</v>
      </c>
      <c r="I771" s="17">
        <f>IF(A771="COMPOSICAO",VLOOKUP("TOTAL - "&amp;B771,COMPOSICAO_AUX_3!$A:$J,10,FALSE),VLOOKUP(B771,I!$A:$D,4,FALSE))</f>
        <v>18.649999999999999</v>
      </c>
      <c r="J771" s="80">
        <f t="shared" si="30"/>
        <v>0</v>
      </c>
      <c r="K771" s="81"/>
    </row>
    <row r="772" spans="1:13" ht="30" customHeight="1" x14ac:dyDescent="0.25">
      <c r="A772" s="16" t="s">
        <v>306</v>
      </c>
      <c r="B772" s="20">
        <v>12895</v>
      </c>
      <c r="C772" s="77" t="str">
        <f>VLOOKUP(B772,IF(A772="COMPOSICAO",S!$A:$D,I!$A:$D),2,FALSE)</f>
        <v>CAPACETE DE SEGURANCA ABA FRONTAL COM SUSPENSAO DE POLIETILENO, SEM JUGULAR (CLASSE B)</v>
      </c>
      <c r="D772" s="77"/>
      <c r="E772" s="77"/>
      <c r="F772" s="77"/>
      <c r="G772" s="16" t="str">
        <f>VLOOKUP(B772,IF(A772="COMPOSICAO",S!$A:$D,I!$A:$D),3,FALSE)</f>
        <v>UN</v>
      </c>
      <c r="H772" s="29">
        <v>5.9999999999999995E-4</v>
      </c>
      <c r="I772" s="17">
        <f>IF(A772="COMPOSICAO",VLOOKUP("TOTAL - "&amp;B772,COMPOSICAO_AUX_3!$A:$J,10,FALSE),VLOOKUP(B772,I!$A:$D,4,FALSE))</f>
        <v>14.35</v>
      </c>
      <c r="J772" s="80">
        <f t="shared" si="30"/>
        <v>0</v>
      </c>
      <c r="K772" s="81"/>
    </row>
    <row r="773" spans="1:13" ht="15" customHeight="1" x14ac:dyDescent="0.25">
      <c r="A773" s="23" t="s">
        <v>811</v>
      </c>
      <c r="B773" s="24"/>
      <c r="C773" s="24"/>
      <c r="D773" s="24"/>
      <c r="E773" s="24"/>
      <c r="F773" s="24"/>
      <c r="G773" s="25"/>
      <c r="H773" s="26"/>
      <c r="I773" s="27"/>
      <c r="J773" s="80">
        <f>SUM(J756:K772)</f>
        <v>2.7800000000000002</v>
      </c>
      <c r="K773" s="81"/>
    </row>
    <row r="774" spans="1:13" ht="15" customHeight="1" x14ac:dyDescent="0.25">
      <c r="A774" s="3"/>
      <c r="B774" s="3"/>
      <c r="C774" s="3"/>
      <c r="D774" s="3"/>
      <c r="E774" s="3"/>
      <c r="F774" s="3"/>
      <c r="G774" s="3"/>
      <c r="H774" s="3"/>
      <c r="I774" s="3"/>
      <c r="J774" s="3"/>
      <c r="K774" s="3"/>
    </row>
    <row r="775" spans="1:13" ht="15" customHeight="1" x14ac:dyDescent="0.25">
      <c r="A775" s="10" t="s">
        <v>295</v>
      </c>
      <c r="B775" s="10" t="s">
        <v>31</v>
      </c>
      <c r="C775" s="82" t="s">
        <v>7</v>
      </c>
      <c r="D775" s="83"/>
      <c r="E775" s="83"/>
      <c r="F775" s="83"/>
      <c r="G775" s="6" t="s">
        <v>32</v>
      </c>
      <c r="H775" s="6" t="s">
        <v>296</v>
      </c>
      <c r="I775" s="6" t="s">
        <v>297</v>
      </c>
      <c r="J775" s="57" t="s">
        <v>9</v>
      </c>
      <c r="K775" s="58"/>
    </row>
    <row r="776" spans="1:13" ht="75" customHeight="1" x14ac:dyDescent="0.25">
      <c r="A776" s="6" t="s">
        <v>11</v>
      </c>
      <c r="B776" s="6" t="s">
        <v>677</v>
      </c>
      <c r="C776" s="91" t="str">
        <f>VLOOKUP(B776,S!$A:$D,2,FALSE)</f>
        <v>ARGAMASSA EM VOLUME - CIMENTO, CAL E AREIA TRAÇO T-5 (1:2:8) - 1 SACO CIMENTO 50 KG / 2 SACOS CAL 20 KG / 8 PADIOLAS DE AREIA DIM 0.35 X 0.45 X 0.13 M - CONFECÇÃO MECÂNICA E TRANSPORTE</v>
      </c>
      <c r="D776" s="91"/>
      <c r="E776" s="91"/>
      <c r="F776" s="92"/>
      <c r="G776" s="6" t="str">
        <f>VLOOKUP(B776,S!$A:$D,3,FALSE)</f>
        <v>M3</v>
      </c>
      <c r="H776" s="21"/>
      <c r="I776" s="21">
        <f>J782</f>
        <v>431.93999999999994</v>
      </c>
      <c r="J776" s="76"/>
      <c r="K776" s="72"/>
      <c r="L776" s="21">
        <f>VLOOKUP(B776,S!$A:$D,4,FALSE)</f>
        <v>449.94</v>
      </c>
      <c r="M776" s="6" t="str">
        <f>IF(ROUND((L776-I776),2)=0,"OK, confere com a tabela.",IF(ROUND((L776-I776),2)&lt;0,"ACIMA ("&amp;TEXT(ROUND(I776*100/L776,4),"0,0000")&amp;" %) da tabela.","ABAIXO ("&amp;TEXT(ROUND(I776*100/L776,4),"0,0000")&amp;" %) da tabela."))</f>
        <v>ABAIXO (95,9995 %) da tabela.</v>
      </c>
    </row>
    <row r="777" spans="1:13" ht="30" customHeight="1" x14ac:dyDescent="0.25">
      <c r="A777" s="16" t="s">
        <v>306</v>
      </c>
      <c r="B777" s="20">
        <v>367</v>
      </c>
      <c r="C777" s="77" t="str">
        <f>VLOOKUP(B777,IF(A777="COMPOSICAO",S!$A:$D,I!$A:$D),2,FALSE)</f>
        <v>AREIA GROSSA - POSTO JAZIDA/FORNECEDOR (RETIRADO NA JAZIDA, SEM TRANSPORTE)</v>
      </c>
      <c r="D777" s="77"/>
      <c r="E777" s="77"/>
      <c r="F777" s="77"/>
      <c r="G777" s="16" t="str">
        <f>VLOOKUP(B777,IF(A777="COMPOSICAO",S!$A:$D,I!$A:$D),3,FALSE)</f>
        <v>M3</v>
      </c>
      <c r="H777" s="30">
        <v>1.216</v>
      </c>
      <c r="I777" s="17">
        <f>IF(A777="COMPOSICAO",VLOOKUP("TOTAL - "&amp;B777,COMPOSICAO_AUX_3!$A:$J,10,FALSE),VLOOKUP(B777,I!$A:$D,4,FALSE))</f>
        <v>53.34</v>
      </c>
      <c r="J777" s="80">
        <f>TRUNC(H777*I777,2)</f>
        <v>64.86</v>
      </c>
      <c r="K777" s="81"/>
    </row>
    <row r="778" spans="1:13" ht="15" customHeight="1" x14ac:dyDescent="0.25">
      <c r="A778" s="16" t="s">
        <v>306</v>
      </c>
      <c r="B778" s="20">
        <v>1106</v>
      </c>
      <c r="C778" s="77" t="str">
        <f>VLOOKUP(B778,IF(A778="COMPOSICAO",S!$A:$D,I!$A:$D),2,FALSE)</f>
        <v>CAL HIDRATADA CH-I PARA ARGAMASSAS</v>
      </c>
      <c r="D778" s="77"/>
      <c r="E778" s="77"/>
      <c r="F778" s="77"/>
      <c r="G778" s="16" t="str">
        <f>VLOOKUP(B778,IF(A778="COMPOSICAO",S!$A:$D,I!$A:$D),3,FALSE)</f>
        <v>KG</v>
      </c>
      <c r="H778" s="17">
        <v>182</v>
      </c>
      <c r="I778" s="17">
        <f>IF(A778="COMPOSICAO",VLOOKUP("TOTAL - "&amp;B778,COMPOSICAO_AUX_3!$A:$J,10,FALSE),VLOOKUP(B778,I!$A:$D,4,FALSE))</f>
        <v>1.02</v>
      </c>
      <c r="J778" s="80">
        <f>TRUNC(H778*I778,2)</f>
        <v>185.64</v>
      </c>
      <c r="K778" s="81"/>
    </row>
    <row r="779" spans="1:13" ht="15" customHeight="1" x14ac:dyDescent="0.25">
      <c r="A779" s="16" t="s">
        <v>306</v>
      </c>
      <c r="B779" s="20">
        <v>1379</v>
      </c>
      <c r="C779" s="77" t="str">
        <f>VLOOKUP(B779,IF(A779="COMPOSICAO",S!$A:$D,I!$A:$D),2,FALSE)</f>
        <v>CIMENTO PORTLAND COMPOSTO CP II-32</v>
      </c>
      <c r="D779" s="77"/>
      <c r="E779" s="77"/>
      <c r="F779" s="77"/>
      <c r="G779" s="16" t="str">
        <f>VLOOKUP(B779,IF(A779="COMPOSICAO",S!$A:$D,I!$A:$D),3,FALSE)</f>
        <v>KG</v>
      </c>
      <c r="H779" s="17">
        <v>182</v>
      </c>
      <c r="I779" s="17">
        <f>IF(A779="COMPOSICAO",VLOOKUP("TOTAL - "&amp;B779,COMPOSICAO_AUX_3!$A:$J,10,FALSE),VLOOKUP(B779,I!$A:$D,4,FALSE))</f>
        <v>0.7</v>
      </c>
      <c r="J779" s="80">
        <f>TRUNC(H779*I779,2)</f>
        <v>127.4</v>
      </c>
      <c r="K779" s="81"/>
    </row>
    <row r="780" spans="1:13" ht="15" customHeight="1" x14ac:dyDescent="0.25">
      <c r="A780" s="16" t="s">
        <v>306</v>
      </c>
      <c r="B780" s="20">
        <v>6111</v>
      </c>
      <c r="C780" s="77" t="str">
        <f>VLOOKUP(B780,IF(A780="COMPOSICAO",S!$A:$D,I!$A:$D),2,FALSE)</f>
        <v>SERVENTE DE OBRAS</v>
      </c>
      <c r="D780" s="77"/>
      <c r="E780" s="77"/>
      <c r="F780" s="77"/>
      <c r="G780" s="16" t="str">
        <f>VLOOKUP(B780,IF(A780="COMPOSICAO",S!$A:$D,I!$A:$D),3,FALSE)</f>
        <v>H</v>
      </c>
      <c r="H780" s="17">
        <v>4</v>
      </c>
      <c r="I780" s="17">
        <f>IF(A780="COMPOSICAO",VLOOKUP("TOTAL - "&amp;B780,COMPOSICAO_AUX_3!$A:$J,10,FALSE),VLOOKUP(B780,I!$A:$D,4,FALSE))</f>
        <v>10.6</v>
      </c>
      <c r="J780" s="80">
        <f>TRUNC(H780*I780,2)</f>
        <v>42.4</v>
      </c>
      <c r="K780" s="81"/>
    </row>
    <row r="781" spans="1:13" ht="15" customHeight="1" x14ac:dyDescent="0.25">
      <c r="A781" s="16" t="s">
        <v>302</v>
      </c>
      <c r="B781" s="16" t="s">
        <v>319</v>
      </c>
      <c r="C781" s="77" t="str">
        <f>VLOOKUP(B781,IF(A781="COMPOSICAO",S!$A:$D,I!$A:$D),2,FALSE)</f>
        <v>ENCARGOS COMPLEMENTARES - SERVENTE</v>
      </c>
      <c r="D781" s="77"/>
      <c r="E781" s="77"/>
      <c r="F781" s="77"/>
      <c r="G781" s="16" t="str">
        <f>VLOOKUP(B781,IF(A781="COMPOSICAO",S!$A:$D,I!$A:$D),3,FALSE)</f>
        <v>H</v>
      </c>
      <c r="H781" s="17">
        <v>4</v>
      </c>
      <c r="I781" s="17">
        <f>IF(A781="COMPOSICAO",VLOOKUP("TOTAL - "&amp;B781,COMPOSICAO_AUX_3!$A:$J,10,FALSE),VLOOKUP(B781,I!$A:$D,4,FALSE))</f>
        <v>2.9100000000000006</v>
      </c>
      <c r="J781" s="80">
        <f>TRUNC(H781*I781,2)</f>
        <v>11.64</v>
      </c>
      <c r="K781" s="81"/>
    </row>
    <row r="782" spans="1:13" ht="15" customHeight="1" x14ac:dyDescent="0.25">
      <c r="A782" s="23" t="s">
        <v>812</v>
      </c>
      <c r="B782" s="24"/>
      <c r="C782" s="24"/>
      <c r="D782" s="24"/>
      <c r="E782" s="24"/>
      <c r="F782" s="24"/>
      <c r="G782" s="25"/>
      <c r="H782" s="26"/>
      <c r="I782" s="27"/>
      <c r="J782" s="80">
        <f>SUM(J776:K781)</f>
        <v>431.93999999999994</v>
      </c>
      <c r="K782" s="81"/>
    </row>
    <row r="783" spans="1:13" ht="15" customHeight="1" x14ac:dyDescent="0.25">
      <c r="A783" s="3"/>
      <c r="B783" s="3"/>
      <c r="C783" s="3"/>
      <c r="D783" s="3"/>
      <c r="E783" s="3"/>
      <c r="F783" s="3"/>
      <c r="G783" s="3"/>
      <c r="H783" s="3"/>
      <c r="I783" s="3"/>
      <c r="J783" s="3"/>
      <c r="K783" s="3"/>
    </row>
    <row r="784" spans="1:13" ht="15" customHeight="1" x14ac:dyDescent="0.25">
      <c r="A784" s="10" t="s">
        <v>295</v>
      </c>
      <c r="B784" s="10" t="s">
        <v>31</v>
      </c>
      <c r="C784" s="82" t="s">
        <v>7</v>
      </c>
      <c r="D784" s="83"/>
      <c r="E784" s="83"/>
      <c r="F784" s="83"/>
      <c r="G784" s="6" t="s">
        <v>32</v>
      </c>
      <c r="H784" s="6" t="s">
        <v>296</v>
      </c>
      <c r="I784" s="6" t="s">
        <v>297</v>
      </c>
      <c r="J784" s="57" t="s">
        <v>9</v>
      </c>
      <c r="K784" s="58"/>
    </row>
    <row r="785" spans="1:13" ht="60" customHeight="1" x14ac:dyDescent="0.25">
      <c r="A785" s="6" t="s">
        <v>11</v>
      </c>
      <c r="B785" s="6" t="s">
        <v>395</v>
      </c>
      <c r="C785" s="91" t="str">
        <f>VLOOKUP(B785,S!$A:$D,2,FALSE)</f>
        <v>ARGAMASSA CIMENTO E AREIA TRAÇO T-1 (1:3) - 1 SACO CIMENTO 50KG / 3 PADIOLAS AREIA DIM. 0.35 X 0.45 X 0.23 M - CONFECÇÃO MECÂNICA E TRANSPORTE</v>
      </c>
      <c r="D785" s="91"/>
      <c r="E785" s="91"/>
      <c r="F785" s="92"/>
      <c r="G785" s="6" t="str">
        <f>VLOOKUP(B785,S!$A:$D,3,FALSE)</f>
        <v>M3</v>
      </c>
      <c r="H785" s="21"/>
      <c r="I785" s="21">
        <f>J790</f>
        <v>428.9</v>
      </c>
      <c r="J785" s="76"/>
      <c r="K785" s="72"/>
      <c r="L785" s="21">
        <f>VLOOKUP(B785,S!$A:$D,4,FALSE)</f>
        <v>468.55</v>
      </c>
      <c r="M785" s="6" t="str">
        <f>IF(ROUND((L785-I785),2)=0,"OK, confere com a tabela.",IF(ROUND((L785-I785),2)&lt;0,"ACIMA ("&amp;TEXT(ROUND(I785*100/L785,4),"0,0000")&amp;" %) da tabela.","ABAIXO ("&amp;TEXT(ROUND(I785*100/L785,4),"0,0000")&amp;" %) da tabela."))</f>
        <v>ABAIXO (91,5377 %) da tabela.</v>
      </c>
    </row>
    <row r="786" spans="1:13" ht="30" customHeight="1" x14ac:dyDescent="0.25">
      <c r="A786" s="16" t="s">
        <v>306</v>
      </c>
      <c r="B786" s="20">
        <v>370</v>
      </c>
      <c r="C786" s="77" t="str">
        <f>VLOOKUP(B786,IF(A786="COMPOSICAO",S!$A:$D,I!$A:$D),2,FALSE)</f>
        <v>AREIA MEDIA - POSTO JAZIDA/FORNECEDOR (RETIRADO NA JAZIDA, SEM TRANSPORTE)</v>
      </c>
      <c r="D786" s="77"/>
      <c r="E786" s="77"/>
      <c r="F786" s="77"/>
      <c r="G786" s="16" t="str">
        <f>VLOOKUP(B786,IF(A786="COMPOSICAO",S!$A:$D,I!$A:$D),3,FALSE)</f>
        <v>M3</v>
      </c>
      <c r="H786" s="17">
        <v>1.08</v>
      </c>
      <c r="I786" s="17">
        <f>IF(A786="COMPOSICAO",VLOOKUP("TOTAL - "&amp;B786,COMPOSICAO_AUX_3!$A:$J,10,FALSE),VLOOKUP(B786,I!$A:$D,4,FALSE))</f>
        <v>54</v>
      </c>
      <c r="J786" s="80">
        <f>TRUNC(H786*I786,2)</f>
        <v>58.32</v>
      </c>
      <c r="K786" s="81"/>
    </row>
    <row r="787" spans="1:13" ht="15" customHeight="1" x14ac:dyDescent="0.25">
      <c r="A787" s="16" t="s">
        <v>306</v>
      </c>
      <c r="B787" s="20">
        <v>1379</v>
      </c>
      <c r="C787" s="77" t="str">
        <f>VLOOKUP(B787,IF(A787="COMPOSICAO",S!$A:$D,I!$A:$D),2,FALSE)</f>
        <v>CIMENTO PORTLAND COMPOSTO CP II-32</v>
      </c>
      <c r="D787" s="77"/>
      <c r="E787" s="77"/>
      <c r="F787" s="77"/>
      <c r="G787" s="16" t="str">
        <f>VLOOKUP(B787,IF(A787="COMPOSICAO",S!$A:$D,I!$A:$D),3,FALSE)</f>
        <v>KG</v>
      </c>
      <c r="H787" s="17">
        <v>452.2</v>
      </c>
      <c r="I787" s="17">
        <f>IF(A787="COMPOSICAO",VLOOKUP("TOTAL - "&amp;B787,COMPOSICAO_AUX_3!$A:$J,10,FALSE),VLOOKUP(B787,I!$A:$D,4,FALSE))</f>
        <v>0.7</v>
      </c>
      <c r="J787" s="80">
        <f>TRUNC(H787*I787,2)</f>
        <v>316.54000000000002</v>
      </c>
      <c r="K787" s="81"/>
    </row>
    <row r="788" spans="1:13" ht="15" customHeight="1" x14ac:dyDescent="0.25">
      <c r="A788" s="16" t="s">
        <v>306</v>
      </c>
      <c r="B788" s="20">
        <v>6111</v>
      </c>
      <c r="C788" s="77" t="str">
        <f>VLOOKUP(B788,IF(A788="COMPOSICAO",S!$A:$D,I!$A:$D),2,FALSE)</f>
        <v>SERVENTE DE OBRAS</v>
      </c>
      <c r="D788" s="77"/>
      <c r="E788" s="77"/>
      <c r="F788" s="77"/>
      <c r="G788" s="16" t="str">
        <f>VLOOKUP(B788,IF(A788="COMPOSICAO",S!$A:$D,I!$A:$D),3,FALSE)</f>
        <v>H</v>
      </c>
      <c r="H788" s="17">
        <v>4</v>
      </c>
      <c r="I788" s="17">
        <f>IF(A788="COMPOSICAO",VLOOKUP("TOTAL - "&amp;B788,COMPOSICAO_AUX_3!$A:$J,10,FALSE),VLOOKUP(B788,I!$A:$D,4,FALSE))</f>
        <v>10.6</v>
      </c>
      <c r="J788" s="80">
        <f>TRUNC(H788*I788,2)</f>
        <v>42.4</v>
      </c>
      <c r="K788" s="81"/>
    </row>
    <row r="789" spans="1:13" ht="15" customHeight="1" x14ac:dyDescent="0.25">
      <c r="A789" s="16" t="s">
        <v>302</v>
      </c>
      <c r="B789" s="16" t="s">
        <v>319</v>
      </c>
      <c r="C789" s="77" t="str">
        <f>VLOOKUP(B789,IF(A789="COMPOSICAO",S!$A:$D,I!$A:$D),2,FALSE)</f>
        <v>ENCARGOS COMPLEMENTARES - SERVENTE</v>
      </c>
      <c r="D789" s="77"/>
      <c r="E789" s="77"/>
      <c r="F789" s="77"/>
      <c r="G789" s="16" t="str">
        <f>VLOOKUP(B789,IF(A789="COMPOSICAO",S!$A:$D,I!$A:$D),3,FALSE)</f>
        <v>H</v>
      </c>
      <c r="H789" s="17">
        <v>4</v>
      </c>
      <c r="I789" s="17">
        <f>IF(A789="COMPOSICAO",VLOOKUP("TOTAL - "&amp;B789,COMPOSICAO_AUX_3!$A:$J,10,FALSE),VLOOKUP(B789,I!$A:$D,4,FALSE))</f>
        <v>2.9100000000000006</v>
      </c>
      <c r="J789" s="80">
        <f>TRUNC(H789*I789,2)</f>
        <v>11.64</v>
      </c>
      <c r="K789" s="81"/>
    </row>
    <row r="790" spans="1:13" ht="15" customHeight="1" x14ac:dyDescent="0.25">
      <c r="A790" s="23" t="s">
        <v>630</v>
      </c>
      <c r="B790" s="24"/>
      <c r="C790" s="24"/>
      <c r="D790" s="24"/>
      <c r="E790" s="24"/>
      <c r="F790" s="24"/>
      <c r="G790" s="25"/>
      <c r="H790" s="26"/>
      <c r="I790" s="27"/>
      <c r="J790" s="80">
        <f>SUM(J785:K789)</f>
        <v>428.9</v>
      </c>
      <c r="K790" s="81"/>
    </row>
    <row r="791" spans="1:13" ht="15" customHeight="1" x14ac:dyDescent="0.25">
      <c r="A791" s="3"/>
      <c r="B791" s="3"/>
      <c r="C791" s="3"/>
      <c r="D791" s="3"/>
      <c r="E791" s="3"/>
      <c r="F791" s="3"/>
      <c r="G791" s="3"/>
      <c r="H791" s="3"/>
      <c r="I791" s="3"/>
      <c r="J791" s="3"/>
      <c r="K791" s="3"/>
    </row>
    <row r="792" spans="1:13" ht="15" customHeight="1" x14ac:dyDescent="0.25">
      <c r="A792" s="10" t="s">
        <v>295</v>
      </c>
      <c r="B792" s="10" t="s">
        <v>31</v>
      </c>
      <c r="C792" s="82" t="s">
        <v>7</v>
      </c>
      <c r="D792" s="83"/>
      <c r="E792" s="83"/>
      <c r="F792" s="83"/>
      <c r="G792" s="6" t="s">
        <v>32</v>
      </c>
      <c r="H792" s="6" t="s">
        <v>296</v>
      </c>
      <c r="I792" s="6" t="s">
        <v>297</v>
      </c>
      <c r="J792" s="57" t="s">
        <v>9</v>
      </c>
      <c r="K792" s="58"/>
    </row>
    <row r="793" spans="1:13" ht="45" customHeight="1" x14ac:dyDescent="0.25">
      <c r="A793" s="6" t="s">
        <v>502</v>
      </c>
      <c r="B793" s="28">
        <v>95335</v>
      </c>
      <c r="C793" s="91" t="str">
        <f>VLOOKUP(B793,S!$A:$D,2,FALSE)</f>
        <v>CURSO DE CAPACITAÇÃO PARA ENCANADOR OU BOMBEIRO HIDRÁULICO (ENCARGOS COMPLEMENTARES) - HORISTA</v>
      </c>
      <c r="D793" s="91"/>
      <c r="E793" s="91"/>
      <c r="F793" s="92"/>
      <c r="G793" s="6" t="str">
        <f>VLOOKUP(B793,S!$A:$D,3,FALSE)</f>
        <v>H</v>
      </c>
      <c r="H793" s="21"/>
      <c r="I793" s="21">
        <f>J795</f>
        <v>0.19</v>
      </c>
      <c r="J793" s="76"/>
      <c r="K793" s="72"/>
      <c r="L793" s="21">
        <f>VLOOKUP(B793,S!$A:$D,4,FALSE)</f>
        <v>0.19</v>
      </c>
      <c r="M793" s="6" t="str">
        <f>IF(ROUND((L793-I793),2)=0,"OK, confere com a tabela.",IF(ROUND((L793-I793),2)&lt;0,"ACIMA ("&amp;TEXT(ROUND(I793*100/L793,4),"0,0000")&amp;" %) da tabela.","ABAIXO ("&amp;TEXT(ROUND(I793*100/L793,4),"0,0000")&amp;" %) da tabela."))</f>
        <v>OK, confere com a tabela.</v>
      </c>
    </row>
    <row r="794" spans="1:13" ht="15" customHeight="1" x14ac:dyDescent="0.25">
      <c r="A794" s="16" t="s">
        <v>306</v>
      </c>
      <c r="B794" s="20">
        <v>2696</v>
      </c>
      <c r="C794" s="77" t="str">
        <f>VLOOKUP(B794,IF(A794="COMPOSICAO",S!$A:$D,I!$A:$D),2,FALSE)</f>
        <v>ENCANADOR OU BOMBEIRO HIDRAULICO</v>
      </c>
      <c r="D794" s="77"/>
      <c r="E794" s="77"/>
      <c r="F794" s="77"/>
      <c r="G794" s="16" t="str">
        <f>VLOOKUP(B794,IF(A794="COMPOSICAO",S!$A:$D,I!$A:$D),3,FALSE)</f>
        <v>H</v>
      </c>
      <c r="H794" s="29">
        <v>1.2800000000000001E-2</v>
      </c>
      <c r="I794" s="17">
        <f>IF(A794="COMPOSICAO",VLOOKUP("TOTAL - "&amp;B794,COMPOSICAO_AUX_3!$A:$J,10,FALSE),VLOOKUP(B794,I!$A:$D,4,FALSE))</f>
        <v>14.93</v>
      </c>
      <c r="J794" s="80">
        <f>TRUNC(H794*I794,2)</f>
        <v>0.19</v>
      </c>
      <c r="K794" s="81"/>
    </row>
    <row r="795" spans="1:13" ht="15" customHeight="1" x14ac:dyDescent="0.25">
      <c r="A795" s="23" t="s">
        <v>813</v>
      </c>
      <c r="B795" s="24"/>
      <c r="C795" s="24"/>
      <c r="D795" s="24"/>
      <c r="E795" s="24"/>
      <c r="F795" s="24"/>
      <c r="G795" s="25"/>
      <c r="H795" s="26"/>
      <c r="I795" s="27"/>
      <c r="J795" s="80">
        <f>SUM(J793:K794)</f>
        <v>0.19</v>
      </c>
      <c r="K795" s="81"/>
    </row>
    <row r="796" spans="1:13" ht="15" customHeight="1" x14ac:dyDescent="0.25">
      <c r="A796" s="3"/>
      <c r="B796" s="3"/>
      <c r="C796" s="3"/>
      <c r="D796" s="3"/>
      <c r="E796" s="3"/>
      <c r="F796" s="3"/>
      <c r="G796" s="3"/>
      <c r="H796" s="3"/>
      <c r="I796" s="3"/>
      <c r="J796" s="3"/>
      <c r="K796" s="3"/>
    </row>
    <row r="797" spans="1:13" ht="15" customHeight="1" x14ac:dyDescent="0.25">
      <c r="A797" s="10" t="s">
        <v>295</v>
      </c>
      <c r="B797" s="10" t="s">
        <v>31</v>
      </c>
      <c r="C797" s="82" t="s">
        <v>7</v>
      </c>
      <c r="D797" s="83"/>
      <c r="E797" s="83"/>
      <c r="F797" s="83"/>
      <c r="G797" s="6" t="s">
        <v>32</v>
      </c>
      <c r="H797" s="6" t="s">
        <v>296</v>
      </c>
      <c r="I797" s="6" t="s">
        <v>297</v>
      </c>
      <c r="J797" s="57" t="s">
        <v>9</v>
      </c>
      <c r="K797" s="58"/>
    </row>
    <row r="798" spans="1:13" ht="60" customHeight="1" x14ac:dyDescent="0.25">
      <c r="A798" s="6" t="s">
        <v>572</v>
      </c>
      <c r="B798" s="28">
        <v>89225</v>
      </c>
      <c r="C798" s="91" t="str">
        <f>VLOOKUP(B798,S!$A:$D,2,FALSE)</f>
        <v>BETONEIRA CAPACIDADE NOMINAL DE 600 L, CAPACIDADE DE MISTURA 360 L, MOTOR ELÉTRICO TRIFÁSICO POTÊNCIA DE 4 CV, SEM CARREGADOR - CHP DIURNO. AF_11/2014</v>
      </c>
      <c r="D798" s="91"/>
      <c r="E798" s="91"/>
      <c r="F798" s="92"/>
      <c r="G798" s="6" t="str">
        <f>VLOOKUP(B798,S!$A:$D,3,FALSE)</f>
        <v>CHP</v>
      </c>
      <c r="H798" s="21"/>
      <c r="I798" s="21">
        <f>J803</f>
        <v>4.9800000000000004</v>
      </c>
      <c r="J798" s="76"/>
      <c r="K798" s="72"/>
      <c r="L798" s="21">
        <f>VLOOKUP(B798,S!$A:$D,4,FALSE)</f>
        <v>4.9800000000000004</v>
      </c>
      <c r="M798" s="6" t="str">
        <f>IF(ROUND((L798-I798),2)=0,"OK, confere com a tabela.",IF(ROUND((L798-I798),2)&lt;0,"ACIMA ("&amp;TEXT(ROUND(I798*100/L798,4),"0,0000")&amp;" %) da tabela.","ABAIXO ("&amp;TEXT(ROUND(I798*100/L798,4),"0,0000")&amp;" %) da tabela."))</f>
        <v>OK, confere com a tabela.</v>
      </c>
    </row>
    <row r="799" spans="1:13" ht="60" customHeight="1" x14ac:dyDescent="0.25">
      <c r="A799" s="16" t="s">
        <v>302</v>
      </c>
      <c r="B799" s="20">
        <v>89221</v>
      </c>
      <c r="C799" s="77" t="str">
        <f>VLOOKUP(B799,IF(A799="COMPOSICAO",S!$A:$D,I!$A:$D),2,FALSE)</f>
        <v>BETONEIRA CAPACIDADE NOMINAL DE 600 L, CAPACIDADE DE MISTURA 360 L, MOTOR ELÉTRICO TRIFÁSICO POTÊNCIA DE 4 CV, SEM CARREGADOR - DEPRECIAÇÃO. AF_11/2014</v>
      </c>
      <c r="D799" s="77"/>
      <c r="E799" s="77"/>
      <c r="F799" s="77"/>
      <c r="G799" s="16" t="str">
        <f>VLOOKUP(B799,IF(A799="COMPOSICAO",S!$A:$D,I!$A:$D),3,FALSE)</f>
        <v>H</v>
      </c>
      <c r="H799" s="17">
        <v>1</v>
      </c>
      <c r="I799" s="17">
        <f>IF(A799="COMPOSICAO",VLOOKUP("TOTAL - "&amp;B799,COMPOSICAO_AUX_3!$A:$J,10,FALSE),VLOOKUP(B799,I!$A:$D,4,FALSE))</f>
        <v>1.5</v>
      </c>
      <c r="J799" s="80">
        <f>TRUNC(H799*I799,2)</f>
        <v>1.5</v>
      </c>
      <c r="K799" s="81"/>
    </row>
    <row r="800" spans="1:13" ht="60" customHeight="1" x14ac:dyDescent="0.25">
      <c r="A800" s="16" t="s">
        <v>302</v>
      </c>
      <c r="B800" s="20">
        <v>89222</v>
      </c>
      <c r="C800" s="77" t="str">
        <f>VLOOKUP(B800,IF(A800="COMPOSICAO",S!$A:$D,I!$A:$D),2,FALSE)</f>
        <v>BETONEIRA CAPACIDADE NOMINAL DE 600 L, CAPACIDADE DE MISTURA 360 L, MOTOR ELÉTRICO TRIFÁSICO POTÊNCIA DE 4 CV, SEM CARREGADOR - JUROS. AF_11/2014</v>
      </c>
      <c r="D800" s="77"/>
      <c r="E800" s="77"/>
      <c r="F800" s="77"/>
      <c r="G800" s="16" t="str">
        <f>VLOOKUP(B800,IF(A800="COMPOSICAO",S!$A:$D,I!$A:$D),3,FALSE)</f>
        <v>H</v>
      </c>
      <c r="H800" s="17">
        <v>1</v>
      </c>
      <c r="I800" s="17">
        <f>IF(A800="COMPOSICAO",VLOOKUP("TOTAL - "&amp;B800,COMPOSICAO_AUX_3!$A:$J,10,FALSE),VLOOKUP(B800,I!$A:$D,4,FALSE))</f>
        <v>0.17</v>
      </c>
      <c r="J800" s="80">
        <f>TRUNC(H800*I800,2)</f>
        <v>0.17</v>
      </c>
      <c r="K800" s="81"/>
    </row>
    <row r="801" spans="1:13" ht="60" customHeight="1" x14ac:dyDescent="0.25">
      <c r="A801" s="16" t="s">
        <v>302</v>
      </c>
      <c r="B801" s="20">
        <v>89223</v>
      </c>
      <c r="C801" s="77" t="str">
        <f>VLOOKUP(B801,IF(A801="COMPOSICAO",S!$A:$D,I!$A:$D),2,FALSE)</f>
        <v>BETONEIRA CAPACIDADE NOMINAL DE 600 L, CAPACIDADE DE MISTURA 360 L, MOTOR ELÉTRICO TRIFÁSICO POTÊNCIA DE 4 CV, SEM CARREGADOR - MANUTENÇÃO. AF_11/2014</v>
      </c>
      <c r="D801" s="77"/>
      <c r="E801" s="77"/>
      <c r="F801" s="77"/>
      <c r="G801" s="16" t="str">
        <f>VLOOKUP(B801,IF(A801="COMPOSICAO",S!$A:$D,I!$A:$D),3,FALSE)</f>
        <v>H</v>
      </c>
      <c r="H801" s="17">
        <v>1</v>
      </c>
      <c r="I801" s="17">
        <f>IF(A801="COMPOSICAO",VLOOKUP("TOTAL - "&amp;B801,COMPOSICAO_AUX_3!$A:$J,10,FALSE),VLOOKUP(B801,I!$A:$D,4,FALSE))</f>
        <v>1.41</v>
      </c>
      <c r="J801" s="80">
        <f>TRUNC(H801*I801,2)</f>
        <v>1.41</v>
      </c>
      <c r="K801" s="81"/>
    </row>
    <row r="802" spans="1:13" ht="60" customHeight="1" x14ac:dyDescent="0.25">
      <c r="A802" s="16" t="s">
        <v>302</v>
      </c>
      <c r="B802" s="20">
        <v>89224</v>
      </c>
      <c r="C802" s="77" t="str">
        <f>VLOOKUP(B802,IF(A802="COMPOSICAO",S!$A:$D,I!$A:$D),2,FALSE)</f>
        <v>BETONEIRA CAPACIDADE NOMINAL DE 600 L, CAPACIDADE DE MISTURA 360 L, MOTOR ELÉTRICO TRIFÁSICO POTÊNCIA DE 4 CV, SEM CARREGADOR - MATERIAIS NA OPERAÇÃO. AF_11/2014</v>
      </c>
      <c r="D802" s="77"/>
      <c r="E802" s="77"/>
      <c r="F802" s="77"/>
      <c r="G802" s="16" t="str">
        <f>VLOOKUP(B802,IF(A802="COMPOSICAO",S!$A:$D,I!$A:$D),3,FALSE)</f>
        <v>H</v>
      </c>
      <c r="H802" s="17">
        <v>1</v>
      </c>
      <c r="I802" s="17">
        <f>IF(A802="COMPOSICAO",VLOOKUP("TOTAL - "&amp;B802,COMPOSICAO_AUX_3!$A:$J,10,FALSE),VLOOKUP(B802,I!$A:$D,4,FALSE))</f>
        <v>1.9</v>
      </c>
      <c r="J802" s="80">
        <f>TRUNC(H802*I802,2)</f>
        <v>1.9</v>
      </c>
      <c r="K802" s="81"/>
    </row>
    <row r="803" spans="1:13" ht="15" customHeight="1" x14ac:dyDescent="0.25">
      <c r="A803" s="23" t="s">
        <v>814</v>
      </c>
      <c r="B803" s="24"/>
      <c r="C803" s="24"/>
      <c r="D803" s="24"/>
      <c r="E803" s="24"/>
      <c r="F803" s="24"/>
      <c r="G803" s="25"/>
      <c r="H803" s="26"/>
      <c r="I803" s="27"/>
      <c r="J803" s="80">
        <f>SUM(J798:K802)</f>
        <v>4.9800000000000004</v>
      </c>
      <c r="K803" s="81"/>
    </row>
    <row r="804" spans="1:13" ht="15" customHeight="1" x14ac:dyDescent="0.25">
      <c r="A804" s="3"/>
      <c r="B804" s="3"/>
      <c r="C804" s="3"/>
      <c r="D804" s="3"/>
      <c r="E804" s="3"/>
      <c r="F804" s="3"/>
      <c r="G804" s="3"/>
      <c r="H804" s="3"/>
      <c r="I804" s="3"/>
      <c r="J804" s="3"/>
      <c r="K804" s="3"/>
    </row>
    <row r="805" spans="1:13" ht="15" customHeight="1" x14ac:dyDescent="0.25">
      <c r="A805" s="10" t="s">
        <v>295</v>
      </c>
      <c r="B805" s="10" t="s">
        <v>31</v>
      </c>
      <c r="C805" s="82" t="s">
        <v>7</v>
      </c>
      <c r="D805" s="83"/>
      <c r="E805" s="83"/>
      <c r="F805" s="83"/>
      <c r="G805" s="6" t="s">
        <v>32</v>
      </c>
      <c r="H805" s="6" t="s">
        <v>296</v>
      </c>
      <c r="I805" s="6" t="s">
        <v>297</v>
      </c>
      <c r="J805" s="57" t="s">
        <v>9</v>
      </c>
      <c r="K805" s="58"/>
    </row>
    <row r="806" spans="1:13" ht="60" customHeight="1" x14ac:dyDescent="0.25">
      <c r="A806" s="6" t="s">
        <v>572</v>
      </c>
      <c r="B806" s="28">
        <v>89226</v>
      </c>
      <c r="C806" s="91" t="str">
        <f>VLOOKUP(B806,S!$A:$D,2,FALSE)</f>
        <v>BETONEIRA CAPACIDADE NOMINAL DE 600 L, CAPACIDADE DE MISTURA 360 L, MOTOR ELÉTRICO TRIFÁSICO POTÊNCIA DE 4 CV, SEM CARREGADOR - CHI DIURNO. AF_11/2014</v>
      </c>
      <c r="D806" s="91"/>
      <c r="E806" s="91"/>
      <c r="F806" s="92"/>
      <c r="G806" s="6" t="str">
        <f>VLOOKUP(B806,S!$A:$D,3,FALSE)</f>
        <v>CHI</v>
      </c>
      <c r="H806" s="21"/>
      <c r="I806" s="21">
        <f>J809</f>
        <v>1.67</v>
      </c>
      <c r="J806" s="76"/>
      <c r="K806" s="72"/>
      <c r="L806" s="21">
        <f>VLOOKUP(B806,S!$A:$D,4,FALSE)</f>
        <v>1.67</v>
      </c>
      <c r="M806" s="6" t="str">
        <f>IF(ROUND((L806-I806),2)=0,"OK, confere com a tabela.",IF(ROUND((L806-I806),2)&lt;0,"ACIMA ("&amp;TEXT(ROUND(I806*100/L806,4),"0,0000")&amp;" %) da tabela.","ABAIXO ("&amp;TEXT(ROUND(I806*100/L806,4),"0,0000")&amp;" %) da tabela."))</f>
        <v>OK, confere com a tabela.</v>
      </c>
    </row>
    <row r="807" spans="1:13" ht="60" customHeight="1" x14ac:dyDescent="0.25">
      <c r="A807" s="16" t="s">
        <v>302</v>
      </c>
      <c r="B807" s="20">
        <v>89221</v>
      </c>
      <c r="C807" s="77" t="str">
        <f>VLOOKUP(B807,IF(A807="COMPOSICAO",S!$A:$D,I!$A:$D),2,FALSE)</f>
        <v>BETONEIRA CAPACIDADE NOMINAL DE 600 L, CAPACIDADE DE MISTURA 360 L, MOTOR ELÉTRICO TRIFÁSICO POTÊNCIA DE 4 CV, SEM CARREGADOR - DEPRECIAÇÃO. AF_11/2014</v>
      </c>
      <c r="D807" s="77"/>
      <c r="E807" s="77"/>
      <c r="F807" s="77"/>
      <c r="G807" s="16" t="str">
        <f>VLOOKUP(B807,IF(A807="COMPOSICAO",S!$A:$D,I!$A:$D),3,FALSE)</f>
        <v>H</v>
      </c>
      <c r="H807" s="17">
        <v>1</v>
      </c>
      <c r="I807" s="17">
        <f>IF(A807="COMPOSICAO",VLOOKUP("TOTAL - "&amp;B807,COMPOSICAO_AUX_3!$A:$J,10,FALSE),VLOOKUP(B807,I!$A:$D,4,FALSE))</f>
        <v>1.5</v>
      </c>
      <c r="J807" s="80">
        <f>TRUNC(H807*I807,2)</f>
        <v>1.5</v>
      </c>
      <c r="K807" s="81"/>
    </row>
    <row r="808" spans="1:13" ht="60" customHeight="1" x14ac:dyDescent="0.25">
      <c r="A808" s="16" t="s">
        <v>302</v>
      </c>
      <c r="B808" s="20">
        <v>89222</v>
      </c>
      <c r="C808" s="77" t="str">
        <f>VLOOKUP(B808,IF(A808="COMPOSICAO",S!$A:$D,I!$A:$D),2,FALSE)</f>
        <v>BETONEIRA CAPACIDADE NOMINAL DE 600 L, CAPACIDADE DE MISTURA 360 L, MOTOR ELÉTRICO TRIFÁSICO POTÊNCIA DE 4 CV, SEM CARREGADOR - JUROS. AF_11/2014</v>
      </c>
      <c r="D808" s="77"/>
      <c r="E808" s="77"/>
      <c r="F808" s="77"/>
      <c r="G808" s="16" t="str">
        <f>VLOOKUP(B808,IF(A808="COMPOSICAO",S!$A:$D,I!$A:$D),3,FALSE)</f>
        <v>H</v>
      </c>
      <c r="H808" s="17">
        <v>1</v>
      </c>
      <c r="I808" s="17">
        <f>IF(A808="COMPOSICAO",VLOOKUP("TOTAL - "&amp;B808,COMPOSICAO_AUX_3!$A:$J,10,FALSE),VLOOKUP(B808,I!$A:$D,4,FALSE))</f>
        <v>0.17</v>
      </c>
      <c r="J808" s="80">
        <f>TRUNC(H808*I808,2)</f>
        <v>0.17</v>
      </c>
      <c r="K808" s="81"/>
    </row>
    <row r="809" spans="1:13" ht="15" customHeight="1" x14ac:dyDescent="0.25">
      <c r="A809" s="23" t="s">
        <v>815</v>
      </c>
      <c r="B809" s="24"/>
      <c r="C809" s="24"/>
      <c r="D809" s="24"/>
      <c r="E809" s="24"/>
      <c r="F809" s="24"/>
      <c r="G809" s="25"/>
      <c r="H809" s="26"/>
      <c r="I809" s="27"/>
      <c r="J809" s="80">
        <f>SUM(J806:K808)</f>
        <v>1.67</v>
      </c>
      <c r="K809" s="81"/>
    </row>
    <row r="810" spans="1:13" ht="15" customHeight="1" x14ac:dyDescent="0.25">
      <c r="A810" s="3"/>
      <c r="B810" s="3"/>
      <c r="C810" s="3"/>
      <c r="D810" s="3"/>
      <c r="E810" s="3"/>
      <c r="F810" s="3"/>
      <c r="G810" s="3"/>
      <c r="H810" s="3"/>
      <c r="I810" s="3"/>
      <c r="J810" s="3"/>
      <c r="K810" s="3"/>
    </row>
    <row r="811" spans="1:13" ht="15" customHeight="1" x14ac:dyDescent="0.25">
      <c r="A811" s="10" t="s">
        <v>295</v>
      </c>
      <c r="B811" s="10" t="s">
        <v>31</v>
      </c>
      <c r="C811" s="82" t="s">
        <v>7</v>
      </c>
      <c r="D811" s="83"/>
      <c r="E811" s="83"/>
      <c r="F811" s="83"/>
      <c r="G811" s="6" t="s">
        <v>32</v>
      </c>
      <c r="H811" s="6" t="s">
        <v>296</v>
      </c>
      <c r="I811" s="6" t="s">
        <v>297</v>
      </c>
      <c r="J811" s="57" t="s">
        <v>9</v>
      </c>
      <c r="K811" s="58"/>
    </row>
    <row r="812" spans="1:13" ht="30" customHeight="1" x14ac:dyDescent="0.25">
      <c r="A812" s="6" t="s">
        <v>502</v>
      </c>
      <c r="B812" s="28">
        <v>95316</v>
      </c>
      <c r="C812" s="91" t="str">
        <f>VLOOKUP(B812,S!$A:$D,2,FALSE)</f>
        <v>CURSO DE CAPACITAÇÃO PARA AUXILIAR DE ELETRICISTA (ENCARGOS COMPLEMENTARES) - HORISTA</v>
      </c>
      <c r="D812" s="91"/>
      <c r="E812" s="91"/>
      <c r="F812" s="92"/>
      <c r="G812" s="6" t="str">
        <f>VLOOKUP(B812,S!$A:$D,3,FALSE)</f>
        <v>H</v>
      </c>
      <c r="H812" s="21"/>
      <c r="I812" s="21">
        <f>J814</f>
        <v>0.27</v>
      </c>
      <c r="J812" s="76"/>
      <c r="K812" s="72"/>
      <c r="L812" s="21">
        <f>VLOOKUP(B812,S!$A:$D,4,FALSE)</f>
        <v>0.27</v>
      </c>
      <c r="M812" s="6" t="str">
        <f>IF(ROUND((L812-I812),2)=0,"OK, confere com a tabela.",IF(ROUND((L812-I812),2)&lt;0,"ACIMA ("&amp;TEXT(ROUND(I812*100/L812,4),"0,0000")&amp;" %) da tabela.","ABAIXO ("&amp;TEXT(ROUND(I812*100/L812,4),"0,0000")&amp;" %) da tabela."))</f>
        <v>OK, confere com a tabela.</v>
      </c>
    </row>
    <row r="813" spans="1:13" ht="15" customHeight="1" x14ac:dyDescent="0.25">
      <c r="A813" s="16" t="s">
        <v>306</v>
      </c>
      <c r="B813" s="20">
        <v>247</v>
      </c>
      <c r="C813" s="77" t="str">
        <f>VLOOKUP(B813,IF(A813="COMPOSICAO",S!$A:$D,I!$A:$D),2,FALSE)</f>
        <v>AJUDANTE DE ELETRICISTA</v>
      </c>
      <c r="D813" s="77"/>
      <c r="E813" s="77"/>
      <c r="F813" s="77"/>
      <c r="G813" s="16" t="str">
        <f>VLOOKUP(B813,IF(A813="COMPOSICAO",S!$A:$D,I!$A:$D),3,FALSE)</f>
        <v>H</v>
      </c>
      <c r="H813" s="29">
        <v>2.6599999999999999E-2</v>
      </c>
      <c r="I813" s="17">
        <f>IF(A813="COMPOSICAO",VLOOKUP("TOTAL - "&amp;B813,COMPOSICAO_AUX_3!$A:$J,10,FALSE),VLOOKUP(B813,I!$A:$D,4,FALSE))</f>
        <v>10.5</v>
      </c>
      <c r="J813" s="80">
        <f>TRUNC(H813*I813,2)</f>
        <v>0.27</v>
      </c>
      <c r="K813" s="81"/>
    </row>
    <row r="814" spans="1:13" ht="15" customHeight="1" x14ac:dyDescent="0.25">
      <c r="A814" s="23" t="s">
        <v>816</v>
      </c>
      <c r="B814" s="24"/>
      <c r="C814" s="24"/>
      <c r="D814" s="24"/>
      <c r="E814" s="24"/>
      <c r="F814" s="24"/>
      <c r="G814" s="25"/>
      <c r="H814" s="26"/>
      <c r="I814" s="27"/>
      <c r="J814" s="80">
        <f>SUM(J812:K813)</f>
        <v>0.27</v>
      </c>
      <c r="K814" s="81"/>
    </row>
    <row r="815" spans="1:13" ht="15" customHeight="1" x14ac:dyDescent="0.25">
      <c r="A815" s="3"/>
      <c r="B815" s="3"/>
      <c r="C815" s="3"/>
      <c r="D815" s="3"/>
      <c r="E815" s="3"/>
      <c r="F815" s="3"/>
      <c r="G815" s="3"/>
      <c r="H815" s="3"/>
      <c r="I815" s="3"/>
      <c r="J815" s="3"/>
      <c r="K815" s="3"/>
    </row>
    <row r="816" spans="1:13" ht="15" customHeight="1" x14ac:dyDescent="0.25">
      <c r="A816" s="10" t="s">
        <v>295</v>
      </c>
      <c r="B816" s="10" t="s">
        <v>31</v>
      </c>
      <c r="C816" s="82" t="s">
        <v>7</v>
      </c>
      <c r="D816" s="83"/>
      <c r="E816" s="83"/>
      <c r="F816" s="83"/>
      <c r="G816" s="6" t="s">
        <v>32</v>
      </c>
      <c r="H816" s="6" t="s">
        <v>296</v>
      </c>
      <c r="I816" s="6" t="s">
        <v>297</v>
      </c>
      <c r="J816" s="57" t="s">
        <v>9</v>
      </c>
      <c r="K816" s="58"/>
    </row>
    <row r="817" spans="1:13" ht="30" customHeight="1" x14ac:dyDescent="0.25">
      <c r="A817" s="6" t="s">
        <v>502</v>
      </c>
      <c r="B817" s="28">
        <v>95332</v>
      </c>
      <c r="C817" s="91" t="str">
        <f>VLOOKUP(B817,S!$A:$D,2,FALSE)</f>
        <v>CURSO DE CAPACITAÇÃO PARA ELETRICISTA (ENCARGOS COMPLEMENTARES) - HORISTA</v>
      </c>
      <c r="D817" s="91"/>
      <c r="E817" s="91"/>
      <c r="F817" s="92"/>
      <c r="G817" s="6" t="str">
        <f>VLOOKUP(B817,S!$A:$D,3,FALSE)</f>
        <v>H</v>
      </c>
      <c r="H817" s="21"/>
      <c r="I817" s="21">
        <f>J819</f>
        <v>0.39</v>
      </c>
      <c r="J817" s="76"/>
      <c r="K817" s="72"/>
      <c r="L817" s="21">
        <f>VLOOKUP(B817,S!$A:$D,4,FALSE)</f>
        <v>0.39</v>
      </c>
      <c r="M817" s="6" t="str">
        <f>IF(ROUND((L817-I817),2)=0,"OK, confere com a tabela.",IF(ROUND((L817-I817),2)&lt;0,"ACIMA ("&amp;TEXT(ROUND(I817*100/L817,4),"0,0000")&amp;" %) da tabela.","ABAIXO ("&amp;TEXT(ROUND(I817*100/L817,4),"0,0000")&amp;" %) da tabela."))</f>
        <v>OK, confere com a tabela.</v>
      </c>
    </row>
    <row r="818" spans="1:13" ht="15" customHeight="1" x14ac:dyDescent="0.25">
      <c r="A818" s="16" t="s">
        <v>306</v>
      </c>
      <c r="B818" s="20">
        <v>2436</v>
      </c>
      <c r="C818" s="77" t="str">
        <f>VLOOKUP(B818,IF(A818="COMPOSICAO",S!$A:$D,I!$A:$D),2,FALSE)</f>
        <v>ELETRICISTA</v>
      </c>
      <c r="D818" s="77"/>
      <c r="E818" s="77"/>
      <c r="F818" s="77"/>
      <c r="G818" s="16" t="str">
        <f>VLOOKUP(B818,IF(A818="COMPOSICAO",S!$A:$D,I!$A:$D),3,FALSE)</f>
        <v>H</v>
      </c>
      <c r="H818" s="29">
        <v>2.6599999999999999E-2</v>
      </c>
      <c r="I818" s="17">
        <f>IF(A818="COMPOSICAO",VLOOKUP("TOTAL - "&amp;B818,COMPOSICAO_AUX_3!$A:$J,10,FALSE),VLOOKUP(B818,I!$A:$D,4,FALSE))</f>
        <v>14.93</v>
      </c>
      <c r="J818" s="80">
        <f>TRUNC(H818*I818,2)</f>
        <v>0.39</v>
      </c>
      <c r="K818" s="81"/>
    </row>
    <row r="819" spans="1:13" ht="15" customHeight="1" x14ac:dyDescent="0.25">
      <c r="A819" s="23" t="s">
        <v>817</v>
      </c>
      <c r="B819" s="24"/>
      <c r="C819" s="24"/>
      <c r="D819" s="24"/>
      <c r="E819" s="24"/>
      <c r="F819" s="24"/>
      <c r="G819" s="25"/>
      <c r="H819" s="26"/>
      <c r="I819" s="27"/>
      <c r="J819" s="80">
        <f>SUM(J817:K818)</f>
        <v>0.39</v>
      </c>
      <c r="K819" s="81"/>
    </row>
    <row r="820" spans="1:13" ht="15" customHeight="1" x14ac:dyDescent="0.25">
      <c r="A820" s="3"/>
      <c r="B820" s="3"/>
      <c r="C820" s="3"/>
      <c r="D820" s="3"/>
      <c r="E820" s="3"/>
      <c r="F820" s="3"/>
      <c r="G820" s="3"/>
      <c r="H820" s="3"/>
      <c r="I820" s="3"/>
      <c r="J820" s="3"/>
      <c r="K820" s="3"/>
    </row>
    <row r="821" spans="1:13" ht="15" customHeight="1" x14ac:dyDescent="0.25">
      <c r="A821" s="10" t="s">
        <v>295</v>
      </c>
      <c r="B821" s="10" t="s">
        <v>31</v>
      </c>
      <c r="C821" s="82" t="s">
        <v>7</v>
      </c>
      <c r="D821" s="83"/>
      <c r="E821" s="83"/>
      <c r="F821" s="83"/>
      <c r="G821" s="6" t="s">
        <v>32</v>
      </c>
      <c r="H821" s="6" t="s">
        <v>296</v>
      </c>
      <c r="I821" s="6" t="s">
        <v>297</v>
      </c>
      <c r="J821" s="57" t="s">
        <v>9</v>
      </c>
      <c r="K821" s="58"/>
    </row>
    <row r="822" spans="1:13" ht="15" customHeight="1" x14ac:dyDescent="0.25">
      <c r="A822" s="6" t="s">
        <v>502</v>
      </c>
      <c r="B822" s="28">
        <v>88264</v>
      </c>
      <c r="C822" s="91" t="str">
        <f>VLOOKUP(B822,S!$A:$D,2,FALSE)</f>
        <v>ELETRICISTA COM ENCARGOS COMPLEMENTARES</v>
      </c>
      <c r="D822" s="91"/>
      <c r="E822" s="91"/>
      <c r="F822" s="92"/>
      <c r="G822" s="6" t="str">
        <f>VLOOKUP(B822,S!$A:$D,3,FALSE)</f>
        <v>H</v>
      </c>
      <c r="H822" s="21"/>
      <c r="I822" s="21">
        <f>J831</f>
        <v>20.02</v>
      </c>
      <c r="J822" s="76"/>
      <c r="K822" s="72"/>
      <c r="L822" s="21">
        <f>VLOOKUP(B822,S!$A:$D,4,FALSE)</f>
        <v>20.02</v>
      </c>
      <c r="M822" s="6" t="str">
        <f>IF(ROUND((L822-I822),2)=0,"OK, confere com a tabela.",IF(ROUND((L822-I822),2)&lt;0,"ACIMA ("&amp;TEXT(ROUND(I822*100/L822,4),"0,0000")&amp;" %) da tabela.","ABAIXO ("&amp;TEXT(ROUND(I822*100/L822,4),"0,0000")&amp;" %) da tabela."))</f>
        <v>OK, confere com a tabela.</v>
      </c>
    </row>
    <row r="823" spans="1:13" ht="15" customHeight="1" x14ac:dyDescent="0.25">
      <c r="A823" s="16" t="s">
        <v>306</v>
      </c>
      <c r="B823" s="20">
        <v>2436</v>
      </c>
      <c r="C823" s="77" t="str">
        <f>VLOOKUP(B823,IF(A823="COMPOSICAO",S!$A:$D,I!$A:$D),2,FALSE)</f>
        <v>ELETRICISTA</v>
      </c>
      <c r="D823" s="77"/>
      <c r="E823" s="77"/>
      <c r="F823" s="77"/>
      <c r="G823" s="16" t="str">
        <f>VLOOKUP(B823,IF(A823="COMPOSICAO",S!$A:$D,I!$A:$D),3,FALSE)</f>
        <v>H</v>
      </c>
      <c r="H823" s="17">
        <v>1</v>
      </c>
      <c r="I823" s="17">
        <f>IF(A823="COMPOSICAO",VLOOKUP("TOTAL - "&amp;B823,COMPOSICAO_AUX_3!$A:$J,10,FALSE),VLOOKUP(B823,I!$A:$D,4,FALSE))</f>
        <v>14.93</v>
      </c>
      <c r="J823" s="80">
        <f t="shared" ref="J823:J830" si="31">TRUNC(H823*I823,2)</f>
        <v>14.93</v>
      </c>
      <c r="K823" s="81"/>
    </row>
    <row r="824" spans="1:13" ht="15" customHeight="1" x14ac:dyDescent="0.25">
      <c r="A824" s="16" t="s">
        <v>306</v>
      </c>
      <c r="B824" s="20">
        <v>37370</v>
      </c>
      <c r="C824" s="77" t="str">
        <f>VLOOKUP(B824,IF(A824="COMPOSICAO",S!$A:$D,I!$A:$D),2,FALSE)</f>
        <v>ALIMENTACAO - HORISTA (COLETADO CAIXA)</v>
      </c>
      <c r="D824" s="77"/>
      <c r="E824" s="77"/>
      <c r="F824" s="77"/>
      <c r="G824" s="16" t="str">
        <f>VLOOKUP(B824,IF(A824="COMPOSICAO",S!$A:$D,I!$A:$D),3,FALSE)</f>
        <v>H</v>
      </c>
      <c r="H824" s="17">
        <v>1</v>
      </c>
      <c r="I824" s="17">
        <f>IF(A824="COMPOSICAO",VLOOKUP("TOTAL - "&amp;B824,COMPOSICAO_AUX_3!$A:$J,10,FALSE),VLOOKUP(B824,I!$A:$D,4,FALSE))</f>
        <v>1.86</v>
      </c>
      <c r="J824" s="80">
        <f t="shared" si="31"/>
        <v>1.86</v>
      </c>
      <c r="K824" s="81"/>
    </row>
    <row r="825" spans="1:13" ht="15" customHeight="1" x14ac:dyDescent="0.25">
      <c r="A825" s="16" t="s">
        <v>306</v>
      </c>
      <c r="B825" s="20">
        <v>37371</v>
      </c>
      <c r="C825" s="77" t="str">
        <f>VLOOKUP(B825,IF(A825="COMPOSICAO",S!$A:$D,I!$A:$D),2,FALSE)</f>
        <v>TRANSPORTE - HORISTA (COLETADO CAIXA)</v>
      </c>
      <c r="D825" s="77"/>
      <c r="E825" s="77"/>
      <c r="F825" s="77"/>
      <c r="G825" s="16" t="str">
        <f>VLOOKUP(B825,IF(A825="COMPOSICAO",S!$A:$D,I!$A:$D),3,FALSE)</f>
        <v>H</v>
      </c>
      <c r="H825" s="17">
        <v>1</v>
      </c>
      <c r="I825" s="17">
        <f>IF(A825="COMPOSICAO",VLOOKUP("TOTAL - "&amp;B825,COMPOSICAO_AUX_3!$A:$J,10,FALSE),VLOOKUP(B825,I!$A:$D,4,FALSE))</f>
        <v>0.7</v>
      </c>
      <c r="J825" s="80">
        <f t="shared" si="31"/>
        <v>0.7</v>
      </c>
      <c r="K825" s="81"/>
    </row>
    <row r="826" spans="1:13" ht="15" customHeight="1" x14ac:dyDescent="0.25">
      <c r="A826" s="16" t="s">
        <v>306</v>
      </c>
      <c r="B826" s="20">
        <v>37372</v>
      </c>
      <c r="C826" s="77" t="str">
        <f>VLOOKUP(B826,IF(A826="COMPOSICAO",S!$A:$D,I!$A:$D),2,FALSE)</f>
        <v>EXAMES - HORISTA (COLETADO CAIXA)</v>
      </c>
      <c r="D826" s="77"/>
      <c r="E826" s="77"/>
      <c r="F826" s="77"/>
      <c r="G826" s="16" t="str">
        <f>VLOOKUP(B826,IF(A826="COMPOSICAO",S!$A:$D,I!$A:$D),3,FALSE)</f>
        <v>H</v>
      </c>
      <c r="H826" s="17">
        <v>1</v>
      </c>
      <c r="I826" s="17">
        <f>IF(A826="COMPOSICAO",VLOOKUP("TOTAL - "&amp;B826,COMPOSICAO_AUX_3!$A:$J,10,FALSE),VLOOKUP(B826,I!$A:$D,4,FALSE))</f>
        <v>0.55000000000000004</v>
      </c>
      <c r="J826" s="80">
        <f t="shared" si="31"/>
        <v>0.55000000000000004</v>
      </c>
      <c r="K826" s="81"/>
    </row>
    <row r="827" spans="1:13" ht="15" customHeight="1" x14ac:dyDescent="0.25">
      <c r="A827" s="16" t="s">
        <v>306</v>
      </c>
      <c r="B827" s="20">
        <v>37373</v>
      </c>
      <c r="C827" s="77" t="str">
        <f>VLOOKUP(B827,IF(A827="COMPOSICAO",S!$A:$D,I!$A:$D),2,FALSE)</f>
        <v>SEGURO - HORISTA (COLETADO CAIXA)</v>
      </c>
      <c r="D827" s="77"/>
      <c r="E827" s="77"/>
      <c r="F827" s="77"/>
      <c r="G827" s="16" t="str">
        <f>VLOOKUP(B827,IF(A827="COMPOSICAO",S!$A:$D,I!$A:$D),3,FALSE)</f>
        <v>H</v>
      </c>
      <c r="H827" s="17">
        <v>1</v>
      </c>
      <c r="I827" s="17">
        <f>IF(A827="COMPOSICAO",VLOOKUP("TOTAL - "&amp;B827,COMPOSICAO_AUX_3!$A:$J,10,FALSE),VLOOKUP(B827,I!$A:$D,4,FALSE))</f>
        <v>0.06</v>
      </c>
      <c r="J827" s="80">
        <f t="shared" si="31"/>
        <v>0.06</v>
      </c>
      <c r="K827" s="81"/>
    </row>
    <row r="828" spans="1:13" ht="30" customHeight="1" x14ac:dyDescent="0.25">
      <c r="A828" s="16" t="s">
        <v>306</v>
      </c>
      <c r="B828" s="20">
        <v>43460</v>
      </c>
      <c r="C828" s="77" t="str">
        <f>VLOOKUP(B828,IF(A828="COMPOSICAO",S!$A:$D,I!$A:$D),2,FALSE)</f>
        <v>FERRAMENTAS - FAMILIA ELETRICISTA - HORISTA (ENCARGOS COMPLEMENTARES - COLETADO CAIXA)</v>
      </c>
      <c r="D828" s="77"/>
      <c r="E828" s="77"/>
      <c r="F828" s="77"/>
      <c r="G828" s="16" t="str">
        <f>VLOOKUP(B828,IF(A828="COMPOSICAO",S!$A:$D,I!$A:$D),3,FALSE)</f>
        <v>H</v>
      </c>
      <c r="H828" s="17">
        <v>1</v>
      </c>
      <c r="I828" s="17">
        <f>IF(A828="COMPOSICAO",VLOOKUP("TOTAL - "&amp;B828,COMPOSICAO_AUX_3!$A:$J,10,FALSE),VLOOKUP(B828,I!$A:$D,4,FALSE))</f>
        <v>0.62</v>
      </c>
      <c r="J828" s="80">
        <f t="shared" si="31"/>
        <v>0.62</v>
      </c>
      <c r="K828" s="81"/>
    </row>
    <row r="829" spans="1:13" ht="30" customHeight="1" x14ac:dyDescent="0.25">
      <c r="A829" s="16" t="s">
        <v>306</v>
      </c>
      <c r="B829" s="20">
        <v>43484</v>
      </c>
      <c r="C829" s="77" t="str">
        <f>VLOOKUP(B829,IF(A829="COMPOSICAO",S!$A:$D,I!$A:$D),2,FALSE)</f>
        <v>EPI - FAMILIA ELETRICISTA - HORISTA (ENCARGOS COMPLEMENTARES - COLETADO CAIXA)</v>
      </c>
      <c r="D829" s="77"/>
      <c r="E829" s="77"/>
      <c r="F829" s="77"/>
      <c r="G829" s="16" t="str">
        <f>VLOOKUP(B829,IF(A829="COMPOSICAO",S!$A:$D,I!$A:$D),3,FALSE)</f>
        <v>H</v>
      </c>
      <c r="H829" s="17">
        <v>1</v>
      </c>
      <c r="I829" s="17">
        <f>IF(A829="COMPOSICAO",VLOOKUP("TOTAL - "&amp;B829,COMPOSICAO_AUX_3!$A:$J,10,FALSE),VLOOKUP(B829,I!$A:$D,4,FALSE))</f>
        <v>0.91</v>
      </c>
      <c r="J829" s="80">
        <f t="shared" si="31"/>
        <v>0.91</v>
      </c>
      <c r="K829" s="81"/>
    </row>
    <row r="830" spans="1:13" ht="30" customHeight="1" x14ac:dyDescent="0.25">
      <c r="A830" s="16" t="s">
        <v>302</v>
      </c>
      <c r="B830" s="20">
        <v>95332</v>
      </c>
      <c r="C830" s="77" t="str">
        <f>VLOOKUP(B830,IF(A830="COMPOSICAO",S!$A:$D,I!$A:$D),2,FALSE)</f>
        <v>CURSO DE CAPACITAÇÃO PARA ELETRICISTA (ENCARGOS COMPLEMENTARES) - HORISTA</v>
      </c>
      <c r="D830" s="77"/>
      <c r="E830" s="77"/>
      <c r="F830" s="77"/>
      <c r="G830" s="16" t="str">
        <f>VLOOKUP(B830,IF(A830="COMPOSICAO",S!$A:$D,I!$A:$D),3,FALSE)</f>
        <v>H</v>
      </c>
      <c r="H830" s="17">
        <v>1</v>
      </c>
      <c r="I830" s="17">
        <f>IF(A830="COMPOSICAO",VLOOKUP("TOTAL - "&amp;B830,COMPOSICAO_AUX_3!$A:$J,10,FALSE),VLOOKUP(B830,I!$A:$D,4,FALSE))</f>
        <v>0.39</v>
      </c>
      <c r="J830" s="80">
        <f t="shared" si="31"/>
        <v>0.39</v>
      </c>
      <c r="K830" s="81"/>
    </row>
    <row r="831" spans="1:13" ht="15" customHeight="1" x14ac:dyDescent="0.25">
      <c r="A831" s="23" t="s">
        <v>720</v>
      </c>
      <c r="B831" s="24"/>
      <c r="C831" s="24"/>
      <c r="D831" s="24"/>
      <c r="E831" s="24"/>
      <c r="F831" s="24"/>
      <c r="G831" s="25"/>
      <c r="H831" s="26"/>
      <c r="I831" s="27"/>
      <c r="J831" s="80">
        <f>SUM(J822:K830)</f>
        <v>20.02</v>
      </c>
      <c r="K831" s="81"/>
    </row>
    <row r="832" spans="1:13" ht="15" customHeight="1" x14ac:dyDescent="0.25">
      <c r="A832" s="3"/>
      <c r="B832" s="3"/>
      <c r="C832" s="3"/>
      <c r="D832" s="3"/>
      <c r="E832" s="3"/>
      <c r="F832" s="3"/>
      <c r="G832" s="3"/>
      <c r="H832" s="3"/>
      <c r="I832" s="3"/>
      <c r="J832" s="3"/>
      <c r="K832" s="3"/>
    </row>
    <row r="833" spans="1:13" ht="15" customHeight="1" x14ac:dyDescent="0.25">
      <c r="A833" s="10" t="s">
        <v>295</v>
      </c>
      <c r="B833" s="10" t="s">
        <v>31</v>
      </c>
      <c r="C833" s="82" t="s">
        <v>7</v>
      </c>
      <c r="D833" s="83"/>
      <c r="E833" s="83"/>
      <c r="F833" s="83"/>
      <c r="G833" s="6" t="s">
        <v>32</v>
      </c>
      <c r="H833" s="6" t="s">
        <v>296</v>
      </c>
      <c r="I833" s="6" t="s">
        <v>297</v>
      </c>
      <c r="J833" s="57" t="s">
        <v>9</v>
      </c>
      <c r="K833" s="58"/>
    </row>
    <row r="834" spans="1:13" ht="30" customHeight="1" x14ac:dyDescent="0.25">
      <c r="A834" s="6" t="s">
        <v>502</v>
      </c>
      <c r="B834" s="28">
        <v>88247</v>
      </c>
      <c r="C834" s="91" t="str">
        <f>VLOOKUP(B834,S!$A:$D,2,FALSE)</f>
        <v>AUXILIAR DE ELETRICISTA COM ENCARGOS COMPLEMENTARES</v>
      </c>
      <c r="D834" s="91"/>
      <c r="E834" s="91"/>
      <c r="F834" s="92"/>
      <c r="G834" s="6" t="str">
        <f>VLOOKUP(B834,S!$A:$D,3,FALSE)</f>
        <v>H</v>
      </c>
      <c r="H834" s="21"/>
      <c r="I834" s="21">
        <f>J843</f>
        <v>15.469999999999999</v>
      </c>
      <c r="J834" s="76"/>
      <c r="K834" s="72"/>
      <c r="L834" s="21">
        <f>VLOOKUP(B834,S!$A:$D,4,FALSE)</f>
        <v>15.47</v>
      </c>
      <c r="M834" s="6" t="str">
        <f>IF(ROUND((L834-I834),2)=0,"OK, confere com a tabela.",IF(ROUND((L834-I834),2)&lt;0,"ACIMA ("&amp;TEXT(ROUND(I834*100/L834,4),"0,0000")&amp;" %) da tabela.","ABAIXO ("&amp;TEXT(ROUND(I834*100/L834,4),"0,0000")&amp;" %) da tabela."))</f>
        <v>OK, confere com a tabela.</v>
      </c>
    </row>
    <row r="835" spans="1:13" ht="15" customHeight="1" x14ac:dyDescent="0.25">
      <c r="A835" s="16" t="s">
        <v>306</v>
      </c>
      <c r="B835" s="20">
        <v>247</v>
      </c>
      <c r="C835" s="77" t="str">
        <f>VLOOKUP(B835,IF(A835="COMPOSICAO",S!$A:$D,I!$A:$D),2,FALSE)</f>
        <v>AJUDANTE DE ELETRICISTA</v>
      </c>
      <c r="D835" s="77"/>
      <c r="E835" s="77"/>
      <c r="F835" s="77"/>
      <c r="G835" s="16" t="str">
        <f>VLOOKUP(B835,IF(A835="COMPOSICAO",S!$A:$D,I!$A:$D),3,FALSE)</f>
        <v>H</v>
      </c>
      <c r="H835" s="17">
        <v>1</v>
      </c>
      <c r="I835" s="17">
        <f>IF(A835="COMPOSICAO",VLOOKUP("TOTAL - "&amp;B835,COMPOSICAO_AUX_3!$A:$J,10,FALSE),VLOOKUP(B835,I!$A:$D,4,FALSE))</f>
        <v>10.5</v>
      </c>
      <c r="J835" s="80">
        <f t="shared" ref="J835:J842" si="32">TRUNC(H835*I835,2)</f>
        <v>10.5</v>
      </c>
      <c r="K835" s="81"/>
    </row>
    <row r="836" spans="1:13" ht="15" customHeight="1" x14ac:dyDescent="0.25">
      <c r="A836" s="16" t="s">
        <v>306</v>
      </c>
      <c r="B836" s="20">
        <v>37370</v>
      </c>
      <c r="C836" s="77" t="str">
        <f>VLOOKUP(B836,IF(A836="COMPOSICAO",S!$A:$D,I!$A:$D),2,FALSE)</f>
        <v>ALIMENTACAO - HORISTA (COLETADO CAIXA)</v>
      </c>
      <c r="D836" s="77"/>
      <c r="E836" s="77"/>
      <c r="F836" s="77"/>
      <c r="G836" s="16" t="str">
        <f>VLOOKUP(B836,IF(A836="COMPOSICAO",S!$A:$D,I!$A:$D),3,FALSE)</f>
        <v>H</v>
      </c>
      <c r="H836" s="17">
        <v>1</v>
      </c>
      <c r="I836" s="17">
        <f>IF(A836="COMPOSICAO",VLOOKUP("TOTAL - "&amp;B836,COMPOSICAO_AUX_3!$A:$J,10,FALSE),VLOOKUP(B836,I!$A:$D,4,FALSE))</f>
        <v>1.86</v>
      </c>
      <c r="J836" s="80">
        <f t="shared" si="32"/>
        <v>1.86</v>
      </c>
      <c r="K836" s="81"/>
    </row>
    <row r="837" spans="1:13" ht="15" customHeight="1" x14ac:dyDescent="0.25">
      <c r="A837" s="16" t="s">
        <v>306</v>
      </c>
      <c r="B837" s="20">
        <v>37371</v>
      </c>
      <c r="C837" s="77" t="str">
        <f>VLOOKUP(B837,IF(A837="COMPOSICAO",S!$A:$D,I!$A:$D),2,FALSE)</f>
        <v>TRANSPORTE - HORISTA (COLETADO CAIXA)</v>
      </c>
      <c r="D837" s="77"/>
      <c r="E837" s="77"/>
      <c r="F837" s="77"/>
      <c r="G837" s="16" t="str">
        <f>VLOOKUP(B837,IF(A837="COMPOSICAO",S!$A:$D,I!$A:$D),3,FALSE)</f>
        <v>H</v>
      </c>
      <c r="H837" s="17">
        <v>1</v>
      </c>
      <c r="I837" s="17">
        <f>IF(A837="COMPOSICAO",VLOOKUP("TOTAL - "&amp;B837,COMPOSICAO_AUX_3!$A:$J,10,FALSE),VLOOKUP(B837,I!$A:$D,4,FALSE))</f>
        <v>0.7</v>
      </c>
      <c r="J837" s="80">
        <f t="shared" si="32"/>
        <v>0.7</v>
      </c>
      <c r="K837" s="81"/>
    </row>
    <row r="838" spans="1:13" ht="15" customHeight="1" x14ac:dyDescent="0.25">
      <c r="A838" s="16" t="s">
        <v>306</v>
      </c>
      <c r="B838" s="20">
        <v>37372</v>
      </c>
      <c r="C838" s="77" t="str">
        <f>VLOOKUP(B838,IF(A838="COMPOSICAO",S!$A:$D,I!$A:$D),2,FALSE)</f>
        <v>EXAMES - HORISTA (COLETADO CAIXA)</v>
      </c>
      <c r="D838" s="77"/>
      <c r="E838" s="77"/>
      <c r="F838" s="77"/>
      <c r="G838" s="16" t="str">
        <f>VLOOKUP(B838,IF(A838="COMPOSICAO",S!$A:$D,I!$A:$D),3,FALSE)</f>
        <v>H</v>
      </c>
      <c r="H838" s="17">
        <v>1</v>
      </c>
      <c r="I838" s="17">
        <f>IF(A838="COMPOSICAO",VLOOKUP("TOTAL - "&amp;B838,COMPOSICAO_AUX_3!$A:$J,10,FALSE),VLOOKUP(B838,I!$A:$D,4,FALSE))</f>
        <v>0.55000000000000004</v>
      </c>
      <c r="J838" s="80">
        <f t="shared" si="32"/>
        <v>0.55000000000000004</v>
      </c>
      <c r="K838" s="81"/>
    </row>
    <row r="839" spans="1:13" ht="15" customHeight="1" x14ac:dyDescent="0.25">
      <c r="A839" s="16" t="s">
        <v>306</v>
      </c>
      <c r="B839" s="20">
        <v>37373</v>
      </c>
      <c r="C839" s="77" t="str">
        <f>VLOOKUP(B839,IF(A839="COMPOSICAO",S!$A:$D,I!$A:$D),2,FALSE)</f>
        <v>SEGURO - HORISTA (COLETADO CAIXA)</v>
      </c>
      <c r="D839" s="77"/>
      <c r="E839" s="77"/>
      <c r="F839" s="77"/>
      <c r="G839" s="16" t="str">
        <f>VLOOKUP(B839,IF(A839="COMPOSICAO",S!$A:$D,I!$A:$D),3,FALSE)</f>
        <v>H</v>
      </c>
      <c r="H839" s="17">
        <v>1</v>
      </c>
      <c r="I839" s="17">
        <f>IF(A839="COMPOSICAO",VLOOKUP("TOTAL - "&amp;B839,COMPOSICAO_AUX_3!$A:$J,10,FALSE),VLOOKUP(B839,I!$A:$D,4,FALSE))</f>
        <v>0.06</v>
      </c>
      <c r="J839" s="80">
        <f t="shared" si="32"/>
        <v>0.06</v>
      </c>
      <c r="K839" s="81"/>
    </row>
    <row r="840" spans="1:13" ht="30" customHeight="1" x14ac:dyDescent="0.25">
      <c r="A840" s="16" t="s">
        <v>306</v>
      </c>
      <c r="B840" s="20">
        <v>43460</v>
      </c>
      <c r="C840" s="77" t="str">
        <f>VLOOKUP(B840,IF(A840="COMPOSICAO",S!$A:$D,I!$A:$D),2,FALSE)</f>
        <v>FERRAMENTAS - FAMILIA ELETRICISTA - HORISTA (ENCARGOS COMPLEMENTARES - COLETADO CAIXA)</v>
      </c>
      <c r="D840" s="77"/>
      <c r="E840" s="77"/>
      <c r="F840" s="77"/>
      <c r="G840" s="16" t="str">
        <f>VLOOKUP(B840,IF(A840="COMPOSICAO",S!$A:$D,I!$A:$D),3,FALSE)</f>
        <v>H</v>
      </c>
      <c r="H840" s="17">
        <v>1</v>
      </c>
      <c r="I840" s="17">
        <f>IF(A840="COMPOSICAO",VLOOKUP("TOTAL - "&amp;B840,COMPOSICAO_AUX_3!$A:$J,10,FALSE),VLOOKUP(B840,I!$A:$D,4,FALSE))</f>
        <v>0.62</v>
      </c>
      <c r="J840" s="80">
        <f t="shared" si="32"/>
        <v>0.62</v>
      </c>
      <c r="K840" s="81"/>
    </row>
    <row r="841" spans="1:13" ht="30" customHeight="1" x14ac:dyDescent="0.25">
      <c r="A841" s="16" t="s">
        <v>306</v>
      </c>
      <c r="B841" s="20">
        <v>43484</v>
      </c>
      <c r="C841" s="77" t="str">
        <f>VLOOKUP(B841,IF(A841="COMPOSICAO",S!$A:$D,I!$A:$D),2,FALSE)</f>
        <v>EPI - FAMILIA ELETRICISTA - HORISTA (ENCARGOS COMPLEMENTARES - COLETADO CAIXA)</v>
      </c>
      <c r="D841" s="77"/>
      <c r="E841" s="77"/>
      <c r="F841" s="77"/>
      <c r="G841" s="16" t="str">
        <f>VLOOKUP(B841,IF(A841="COMPOSICAO",S!$A:$D,I!$A:$D),3,FALSE)</f>
        <v>H</v>
      </c>
      <c r="H841" s="17">
        <v>1</v>
      </c>
      <c r="I841" s="17">
        <f>IF(A841="COMPOSICAO",VLOOKUP("TOTAL - "&amp;B841,COMPOSICAO_AUX_3!$A:$J,10,FALSE),VLOOKUP(B841,I!$A:$D,4,FALSE))</f>
        <v>0.91</v>
      </c>
      <c r="J841" s="80">
        <f t="shared" si="32"/>
        <v>0.91</v>
      </c>
      <c r="K841" s="81"/>
    </row>
    <row r="842" spans="1:13" ht="30" customHeight="1" x14ac:dyDescent="0.25">
      <c r="A842" s="16" t="s">
        <v>302</v>
      </c>
      <c r="B842" s="20">
        <v>95316</v>
      </c>
      <c r="C842" s="77" t="str">
        <f>VLOOKUP(B842,IF(A842="COMPOSICAO",S!$A:$D,I!$A:$D),2,FALSE)</f>
        <v>CURSO DE CAPACITAÇÃO PARA AUXILIAR DE ELETRICISTA (ENCARGOS COMPLEMENTARES) - HORISTA</v>
      </c>
      <c r="D842" s="77"/>
      <c r="E842" s="77"/>
      <c r="F842" s="77"/>
      <c r="G842" s="16" t="str">
        <f>VLOOKUP(B842,IF(A842="COMPOSICAO",S!$A:$D,I!$A:$D),3,FALSE)</f>
        <v>H</v>
      </c>
      <c r="H842" s="17">
        <v>1</v>
      </c>
      <c r="I842" s="17">
        <f>IF(A842="COMPOSICAO",VLOOKUP("TOTAL - "&amp;B842,COMPOSICAO_AUX_3!$A:$J,10,FALSE),VLOOKUP(B842,I!$A:$D,4,FALSE))</f>
        <v>0.27</v>
      </c>
      <c r="J842" s="80">
        <f t="shared" si="32"/>
        <v>0.27</v>
      </c>
      <c r="K842" s="81"/>
    </row>
    <row r="843" spans="1:13" ht="15" customHeight="1" x14ac:dyDescent="0.25">
      <c r="A843" s="23" t="s">
        <v>719</v>
      </c>
      <c r="B843" s="24"/>
      <c r="C843" s="24"/>
      <c r="D843" s="24"/>
      <c r="E843" s="24"/>
      <c r="F843" s="24"/>
      <c r="G843" s="25"/>
      <c r="H843" s="26"/>
      <c r="I843" s="27"/>
      <c r="J843" s="80">
        <f>SUM(J834:K842)</f>
        <v>15.469999999999999</v>
      </c>
      <c r="K843" s="81"/>
    </row>
    <row r="844" spans="1:13" ht="15" customHeight="1" x14ac:dyDescent="0.25">
      <c r="A844" s="3"/>
      <c r="B844" s="3"/>
      <c r="C844" s="3"/>
      <c r="D844" s="3"/>
      <c r="E844" s="3"/>
      <c r="F844" s="3"/>
      <c r="G844" s="3"/>
      <c r="H844" s="3"/>
      <c r="I844" s="3"/>
      <c r="J844" s="3"/>
      <c r="K844" s="3"/>
    </row>
    <row r="845" spans="1:13" ht="15" customHeight="1" x14ac:dyDescent="0.25">
      <c r="A845" s="10" t="s">
        <v>295</v>
      </c>
      <c r="B845" s="10" t="s">
        <v>31</v>
      </c>
      <c r="C845" s="82" t="s">
        <v>7</v>
      </c>
      <c r="D845" s="83"/>
      <c r="E845" s="83"/>
      <c r="F845" s="83"/>
      <c r="G845" s="6" t="s">
        <v>32</v>
      </c>
      <c r="H845" s="6" t="s">
        <v>296</v>
      </c>
      <c r="I845" s="6" t="s">
        <v>297</v>
      </c>
      <c r="J845" s="57" t="s">
        <v>9</v>
      </c>
      <c r="K845" s="58"/>
    </row>
    <row r="846" spans="1:13" ht="75" customHeight="1" x14ac:dyDescent="0.25">
      <c r="A846" s="6" t="s">
        <v>502</v>
      </c>
      <c r="B846" s="28">
        <v>87292</v>
      </c>
      <c r="C846" s="91" t="str">
        <f>VLOOKUP(B846,S!$A:$D,2,FALSE)</f>
        <v>ARGAMASSA TRAÇO 1:2:8 (EM VOLUME DE CIMENTO, CAL E AREIA MÉDIA ÚMIDA) PARA EMBOÇO/MASSA ÚNICA/ASSENTAMENTO DE ALVENARIA DE VEDAÇÃO, PREPARO MECÂNICO COM BETONEIRA 400 L. AF_08/2019</v>
      </c>
      <c r="D846" s="91"/>
      <c r="E846" s="91"/>
      <c r="F846" s="92"/>
      <c r="G846" s="6" t="str">
        <f>VLOOKUP(B846,S!$A:$D,3,FALSE)</f>
        <v>M3</v>
      </c>
      <c r="H846" s="21"/>
      <c r="I846" s="21">
        <f>J853</f>
        <v>469.65000000000003</v>
      </c>
      <c r="J846" s="76"/>
      <c r="K846" s="72"/>
      <c r="L846" s="21">
        <f>VLOOKUP(B846,S!$A:$D,4,FALSE)</f>
        <v>469.65</v>
      </c>
      <c r="M846" s="6" t="str">
        <f>IF(ROUND((L846-I846),2)=0,"OK, confere com a tabela.",IF(ROUND((L846-I846),2)&lt;0,"ACIMA ("&amp;TEXT(ROUND(I846*100/L846,4),"0,0000")&amp;" %) da tabela.","ABAIXO ("&amp;TEXT(ROUND(I846*100/L846,4),"0,0000")&amp;" %) da tabela."))</f>
        <v>OK, confere com a tabela.</v>
      </c>
    </row>
    <row r="847" spans="1:13" ht="30" customHeight="1" x14ac:dyDescent="0.25">
      <c r="A847" s="16" t="s">
        <v>306</v>
      </c>
      <c r="B847" s="20">
        <v>370</v>
      </c>
      <c r="C847" s="77" t="str">
        <f>VLOOKUP(B847,IF(A847="COMPOSICAO",S!$A:$D,I!$A:$D),2,FALSE)</f>
        <v>AREIA MEDIA - POSTO JAZIDA/FORNECEDOR (RETIRADO NA JAZIDA, SEM TRANSPORTE)</v>
      </c>
      <c r="D847" s="77"/>
      <c r="E847" s="77"/>
      <c r="F847" s="77"/>
      <c r="G847" s="16" t="str">
        <f>VLOOKUP(B847,IF(A847="COMPOSICAO",S!$A:$D,I!$A:$D),3,FALSE)</f>
        <v>M3</v>
      </c>
      <c r="H847" s="17">
        <v>1.1599999999999999</v>
      </c>
      <c r="I847" s="17">
        <f>IF(A847="COMPOSICAO",VLOOKUP("TOTAL - "&amp;B847,COMPOSICAO_AUX_3!$A:$J,10,FALSE),VLOOKUP(B847,I!$A:$D,4,FALSE))</f>
        <v>54</v>
      </c>
      <c r="J847" s="80">
        <f t="shared" ref="J847:J852" si="33">TRUNC(H847*I847,2)</f>
        <v>62.64</v>
      </c>
      <c r="K847" s="81"/>
    </row>
    <row r="848" spans="1:13" ht="15" customHeight="1" x14ac:dyDescent="0.25">
      <c r="A848" s="16" t="s">
        <v>306</v>
      </c>
      <c r="B848" s="20">
        <v>1106</v>
      </c>
      <c r="C848" s="77" t="str">
        <f>VLOOKUP(B848,IF(A848="COMPOSICAO",S!$A:$D,I!$A:$D),2,FALSE)</f>
        <v>CAL HIDRATADA CH-I PARA ARGAMASSAS</v>
      </c>
      <c r="D848" s="77"/>
      <c r="E848" s="77"/>
      <c r="F848" s="77"/>
      <c r="G848" s="16" t="str">
        <f>VLOOKUP(B848,IF(A848="COMPOSICAO",S!$A:$D,I!$A:$D),3,FALSE)</f>
        <v>KG</v>
      </c>
      <c r="H848" s="17">
        <v>174.1</v>
      </c>
      <c r="I848" s="17">
        <f>IF(A848="COMPOSICAO",VLOOKUP("TOTAL - "&amp;B848,COMPOSICAO_AUX_3!$A:$J,10,FALSE),VLOOKUP(B848,I!$A:$D,4,FALSE))</f>
        <v>1.02</v>
      </c>
      <c r="J848" s="80">
        <f t="shared" si="33"/>
        <v>177.58</v>
      </c>
      <c r="K848" s="81"/>
    </row>
    <row r="849" spans="1:11" ht="15" customHeight="1" x14ac:dyDescent="0.25">
      <c r="A849" s="16" t="s">
        <v>306</v>
      </c>
      <c r="B849" s="20">
        <v>1379</v>
      </c>
      <c r="C849" s="77" t="str">
        <f>VLOOKUP(B849,IF(A849="COMPOSICAO",S!$A:$D,I!$A:$D),2,FALSE)</f>
        <v>CIMENTO PORTLAND COMPOSTO CP II-32</v>
      </c>
      <c r="D849" s="77"/>
      <c r="E849" s="77"/>
      <c r="F849" s="77"/>
      <c r="G849" s="16" t="str">
        <f>VLOOKUP(B849,IF(A849="COMPOSICAO",S!$A:$D,I!$A:$D),3,FALSE)</f>
        <v>KG</v>
      </c>
      <c r="H849" s="17">
        <v>195.86</v>
      </c>
      <c r="I849" s="17">
        <f>IF(A849="COMPOSICAO",VLOOKUP("TOTAL - "&amp;B849,COMPOSICAO_AUX_3!$A:$J,10,FALSE),VLOOKUP(B849,I!$A:$D,4,FALSE))</f>
        <v>0.7</v>
      </c>
      <c r="J849" s="80">
        <f t="shared" si="33"/>
        <v>137.1</v>
      </c>
      <c r="K849" s="81"/>
    </row>
    <row r="850" spans="1:11" ht="30" customHeight="1" x14ac:dyDescent="0.25">
      <c r="A850" s="16" t="s">
        <v>302</v>
      </c>
      <c r="B850" s="20">
        <v>88377</v>
      </c>
      <c r="C850" s="77" t="str">
        <f>VLOOKUP(B850,IF(A850="COMPOSICAO",S!$A:$D,I!$A:$D),2,FALSE)</f>
        <v>OPERADOR DE BETONEIRA ESTACIONÁRIA/MISTURADOR COM ENCARGOS COMPLEMENTARES</v>
      </c>
      <c r="D850" s="77"/>
      <c r="E850" s="77"/>
      <c r="F850" s="77"/>
      <c r="G850" s="16" t="str">
        <f>VLOOKUP(B850,IF(A850="COMPOSICAO",S!$A:$D,I!$A:$D),3,FALSE)</f>
        <v>H</v>
      </c>
      <c r="H850" s="17">
        <v>4.5</v>
      </c>
      <c r="I850" s="17">
        <f>IF(A850="COMPOSICAO",VLOOKUP("TOTAL - "&amp;B850,COMPOSICAO_AUX_3!$A:$J,10,FALSE),VLOOKUP(B850,I!$A:$D,4,FALSE))</f>
        <v>19.810000000000002</v>
      </c>
      <c r="J850" s="80">
        <f t="shared" si="33"/>
        <v>89.14</v>
      </c>
      <c r="K850" s="81"/>
    </row>
    <row r="851" spans="1:11" ht="60" customHeight="1" x14ac:dyDescent="0.25">
      <c r="A851" s="16" t="s">
        <v>302</v>
      </c>
      <c r="B851" s="20">
        <v>88830</v>
      </c>
      <c r="C851" s="77" t="str">
        <f>VLOOKUP(B851,IF(A851="COMPOSICAO",S!$A:$D,I!$A:$D),2,FALSE)</f>
        <v>BETONEIRA CAPACIDADE NOMINAL DE 400 L, CAPACIDADE DE MISTURA 280 L, MOTOR ELÉTRICO TRIFÁSICO POTÊNCIA DE 2 CV, SEM CARREGADOR - CHP DIURNO. AF_10/2014</v>
      </c>
      <c r="D851" s="77"/>
      <c r="E851" s="77"/>
      <c r="F851" s="77"/>
      <c r="G851" s="16" t="str">
        <f>VLOOKUP(B851,IF(A851="COMPOSICAO",S!$A:$D,I!$A:$D),3,FALSE)</f>
        <v>CHP</v>
      </c>
      <c r="H851" s="17">
        <v>1.05</v>
      </c>
      <c r="I851" s="17">
        <f>IF(A851="COMPOSICAO",VLOOKUP("TOTAL - "&amp;B851,COMPOSICAO_AUX_3!$A:$J,10,FALSE),VLOOKUP(B851,I!$A:$D,4,FALSE))</f>
        <v>1.7</v>
      </c>
      <c r="J851" s="80">
        <f t="shared" si="33"/>
        <v>1.78</v>
      </c>
      <c r="K851" s="81"/>
    </row>
    <row r="852" spans="1:11" ht="60" customHeight="1" x14ac:dyDescent="0.25">
      <c r="A852" s="16" t="s">
        <v>302</v>
      </c>
      <c r="B852" s="20">
        <v>88831</v>
      </c>
      <c r="C852" s="77" t="str">
        <f>VLOOKUP(B852,IF(A852="COMPOSICAO",S!$A:$D,I!$A:$D),2,FALSE)</f>
        <v>BETONEIRA CAPACIDADE NOMINAL DE 400 L, CAPACIDADE DE MISTURA 280 L, MOTOR ELÉTRICO TRIFÁSICO POTÊNCIA DE 2 CV, SEM CARREGADOR - CHI DIURNO. AF_10/2014</v>
      </c>
      <c r="D852" s="77"/>
      <c r="E852" s="77"/>
      <c r="F852" s="77"/>
      <c r="G852" s="16" t="str">
        <f>VLOOKUP(B852,IF(A852="COMPOSICAO",S!$A:$D,I!$A:$D),3,FALSE)</f>
        <v>CHI</v>
      </c>
      <c r="H852" s="17">
        <v>3.45</v>
      </c>
      <c r="I852" s="17">
        <f>IF(A852="COMPOSICAO",VLOOKUP("TOTAL - "&amp;B852,COMPOSICAO_AUX_3!$A:$J,10,FALSE),VLOOKUP(B852,I!$A:$D,4,FALSE))</f>
        <v>0.41</v>
      </c>
      <c r="J852" s="80">
        <f t="shared" si="33"/>
        <v>1.41</v>
      </c>
      <c r="K852" s="81"/>
    </row>
    <row r="853" spans="1:11" ht="15" customHeight="1" x14ac:dyDescent="0.25">
      <c r="A853" s="23" t="s">
        <v>571</v>
      </c>
      <c r="B853" s="24"/>
      <c r="C853" s="24"/>
      <c r="D853" s="24"/>
      <c r="E853" s="24"/>
      <c r="F853" s="24"/>
      <c r="G853" s="25"/>
      <c r="H853" s="26"/>
      <c r="I853" s="27"/>
      <c r="J853" s="80">
        <f>SUM(J846:K852)</f>
        <v>469.65000000000003</v>
      </c>
      <c r="K853" s="81"/>
    </row>
    <row r="854" spans="1:11" ht="15" customHeight="1" x14ac:dyDescent="0.25">
      <c r="A854" s="3"/>
      <c r="B854" s="3"/>
      <c r="C854" s="3"/>
      <c r="D854" s="3"/>
      <c r="E854" s="3"/>
      <c r="F854" s="3"/>
      <c r="G854" s="3"/>
      <c r="H854" s="3"/>
      <c r="I854" s="3"/>
      <c r="J854" s="3"/>
      <c r="K854" s="3"/>
    </row>
  </sheetData>
  <sheetProtection formatCells="0" formatColumns="0" formatRows="0" insertColumns="0" insertRows="0" insertHyperlinks="0" deleteColumns="0" deleteRows="0" sort="0" autoFilter="0" pivotTables="0"/>
  <mergeCells count="1416">
    <mergeCell ref="A1:K1"/>
    <mergeCell ref="A2:K2"/>
    <mergeCell ref="A3:K3"/>
    <mergeCell ref="C6:F6"/>
    <mergeCell ref="J6:K6"/>
    <mergeCell ref="C7:F7"/>
    <mergeCell ref="J7:K7"/>
    <mergeCell ref="C18:F18"/>
    <mergeCell ref="J18:K18"/>
    <mergeCell ref="J19:K19"/>
    <mergeCell ref="C21:F21"/>
    <mergeCell ref="J21:K21"/>
    <mergeCell ref="C22:F22"/>
    <mergeCell ref="J22:K22"/>
    <mergeCell ref="C13:F13"/>
    <mergeCell ref="J13:K13"/>
    <mergeCell ref="J14:K14"/>
    <mergeCell ref="C16:F16"/>
    <mergeCell ref="J16:K16"/>
    <mergeCell ref="C17:F17"/>
    <mergeCell ref="J17:K17"/>
    <mergeCell ref="C8:F8"/>
    <mergeCell ref="J8:K8"/>
    <mergeCell ref="J9:K9"/>
    <mergeCell ref="C11:F11"/>
    <mergeCell ref="J11:K11"/>
    <mergeCell ref="C12:F12"/>
    <mergeCell ref="J12:K12"/>
    <mergeCell ref="C29:F29"/>
    <mergeCell ref="J29:K29"/>
    <mergeCell ref="C30:F30"/>
    <mergeCell ref="J30:K30"/>
    <mergeCell ref="J31:K31"/>
    <mergeCell ref="C33:F33"/>
    <mergeCell ref="J33:K33"/>
    <mergeCell ref="C26:F26"/>
    <mergeCell ref="J26:K26"/>
    <mergeCell ref="C27:F27"/>
    <mergeCell ref="J27:K27"/>
    <mergeCell ref="C28:F28"/>
    <mergeCell ref="J28:K28"/>
    <mergeCell ref="C23:F23"/>
    <mergeCell ref="J23:K23"/>
    <mergeCell ref="C24:F24"/>
    <mergeCell ref="J24:K24"/>
    <mergeCell ref="C25:F25"/>
    <mergeCell ref="J25:K25"/>
    <mergeCell ref="C40:F40"/>
    <mergeCell ref="J40:K40"/>
    <mergeCell ref="C41:F41"/>
    <mergeCell ref="J41:K41"/>
    <mergeCell ref="C42:F42"/>
    <mergeCell ref="J42:K42"/>
    <mergeCell ref="C37:F37"/>
    <mergeCell ref="J37:K37"/>
    <mergeCell ref="C38:F38"/>
    <mergeCell ref="J38:K38"/>
    <mergeCell ref="C39:F39"/>
    <mergeCell ref="J39:K39"/>
    <mergeCell ref="C34:F34"/>
    <mergeCell ref="J34:K34"/>
    <mergeCell ref="C35:F35"/>
    <mergeCell ref="J35:K35"/>
    <mergeCell ref="C36:F36"/>
    <mergeCell ref="J36:K36"/>
    <mergeCell ref="J51:K51"/>
    <mergeCell ref="C53:F53"/>
    <mergeCell ref="J53:K53"/>
    <mergeCell ref="C54:F54"/>
    <mergeCell ref="J54:K54"/>
    <mergeCell ref="C55:F55"/>
    <mergeCell ref="J55:K55"/>
    <mergeCell ref="C48:F48"/>
    <mergeCell ref="J48:K48"/>
    <mergeCell ref="C49:F49"/>
    <mergeCell ref="J49:K49"/>
    <mergeCell ref="C50:F50"/>
    <mergeCell ref="J50:K50"/>
    <mergeCell ref="J43:K43"/>
    <mergeCell ref="C45:F45"/>
    <mergeCell ref="J45:K45"/>
    <mergeCell ref="C46:F46"/>
    <mergeCell ref="J46:K46"/>
    <mergeCell ref="C47:F47"/>
    <mergeCell ref="J47:K47"/>
    <mergeCell ref="C66:F66"/>
    <mergeCell ref="J66:K66"/>
    <mergeCell ref="J67:K67"/>
    <mergeCell ref="C69:F69"/>
    <mergeCell ref="J69:K69"/>
    <mergeCell ref="C70:F70"/>
    <mergeCell ref="J70:K70"/>
    <mergeCell ref="C61:F61"/>
    <mergeCell ref="J61:K61"/>
    <mergeCell ref="J62:K62"/>
    <mergeCell ref="C64:F64"/>
    <mergeCell ref="J64:K64"/>
    <mergeCell ref="C65:F65"/>
    <mergeCell ref="J65:K65"/>
    <mergeCell ref="C56:F56"/>
    <mergeCell ref="J56:K56"/>
    <mergeCell ref="J57:K57"/>
    <mergeCell ref="C59:F59"/>
    <mergeCell ref="J59:K59"/>
    <mergeCell ref="C60:F60"/>
    <mergeCell ref="J60:K60"/>
    <mergeCell ref="C77:F77"/>
    <mergeCell ref="J77:K77"/>
    <mergeCell ref="C78:F78"/>
    <mergeCell ref="J78:K78"/>
    <mergeCell ref="C79:F79"/>
    <mergeCell ref="J79:K79"/>
    <mergeCell ref="C74:F74"/>
    <mergeCell ref="J74:K74"/>
    <mergeCell ref="C75:F75"/>
    <mergeCell ref="J75:K75"/>
    <mergeCell ref="C76:F76"/>
    <mergeCell ref="J76:K76"/>
    <mergeCell ref="C71:F71"/>
    <mergeCell ref="J71:K71"/>
    <mergeCell ref="C72:F72"/>
    <mergeCell ref="J72:K72"/>
    <mergeCell ref="C73:F73"/>
    <mergeCell ref="J73:K73"/>
    <mergeCell ref="C86:F86"/>
    <mergeCell ref="J86:K86"/>
    <mergeCell ref="C87:F87"/>
    <mergeCell ref="J87:K87"/>
    <mergeCell ref="C88:F88"/>
    <mergeCell ref="J88:K88"/>
    <mergeCell ref="C83:F83"/>
    <mergeCell ref="J83:K83"/>
    <mergeCell ref="C84:F84"/>
    <mergeCell ref="J84:K84"/>
    <mergeCell ref="C85:F85"/>
    <mergeCell ref="J85:K85"/>
    <mergeCell ref="C80:F80"/>
    <mergeCell ref="J80:K80"/>
    <mergeCell ref="C81:F81"/>
    <mergeCell ref="J81:K81"/>
    <mergeCell ref="C82:F82"/>
    <mergeCell ref="J82:K82"/>
    <mergeCell ref="C99:F99"/>
    <mergeCell ref="J99:K99"/>
    <mergeCell ref="C100:F100"/>
    <mergeCell ref="J100:K100"/>
    <mergeCell ref="C101:F101"/>
    <mergeCell ref="J101:K101"/>
    <mergeCell ref="C94:F94"/>
    <mergeCell ref="J94:K94"/>
    <mergeCell ref="C95:F95"/>
    <mergeCell ref="J95:K95"/>
    <mergeCell ref="J96:K96"/>
    <mergeCell ref="C98:F98"/>
    <mergeCell ref="J98:K98"/>
    <mergeCell ref="J89:K89"/>
    <mergeCell ref="C91:F91"/>
    <mergeCell ref="J91:K91"/>
    <mergeCell ref="C92:F92"/>
    <mergeCell ref="J92:K92"/>
    <mergeCell ref="C93:F93"/>
    <mergeCell ref="J93:K93"/>
    <mergeCell ref="J108:K108"/>
    <mergeCell ref="C110:F110"/>
    <mergeCell ref="J110:K110"/>
    <mergeCell ref="C111:F111"/>
    <mergeCell ref="J111:K111"/>
    <mergeCell ref="C112:F112"/>
    <mergeCell ref="J112:K112"/>
    <mergeCell ref="C105:F105"/>
    <mergeCell ref="J105:K105"/>
    <mergeCell ref="C106:F106"/>
    <mergeCell ref="J106:K106"/>
    <mergeCell ref="C107:F107"/>
    <mergeCell ref="J107:K107"/>
    <mergeCell ref="C102:F102"/>
    <mergeCell ref="J102:K102"/>
    <mergeCell ref="C103:F103"/>
    <mergeCell ref="J103:K103"/>
    <mergeCell ref="C104:F104"/>
    <mergeCell ref="J104:K104"/>
    <mergeCell ref="C119:F119"/>
    <mergeCell ref="J119:K119"/>
    <mergeCell ref="C120:F120"/>
    <mergeCell ref="J120:K120"/>
    <mergeCell ref="C121:F121"/>
    <mergeCell ref="J121:K121"/>
    <mergeCell ref="C116:F116"/>
    <mergeCell ref="J116:K116"/>
    <mergeCell ref="C117:F117"/>
    <mergeCell ref="J117:K117"/>
    <mergeCell ref="C118:F118"/>
    <mergeCell ref="J118:K118"/>
    <mergeCell ref="C113:F113"/>
    <mergeCell ref="J113:K113"/>
    <mergeCell ref="C114:F114"/>
    <mergeCell ref="J114:K114"/>
    <mergeCell ref="C115:F115"/>
    <mergeCell ref="J115:K115"/>
    <mergeCell ref="C128:F128"/>
    <mergeCell ref="J128:K128"/>
    <mergeCell ref="C129:F129"/>
    <mergeCell ref="J129:K129"/>
    <mergeCell ref="C130:F130"/>
    <mergeCell ref="J130:K130"/>
    <mergeCell ref="C125:F125"/>
    <mergeCell ref="J125:K125"/>
    <mergeCell ref="C126:F126"/>
    <mergeCell ref="J126:K126"/>
    <mergeCell ref="C127:F127"/>
    <mergeCell ref="J127:K127"/>
    <mergeCell ref="C122:F122"/>
    <mergeCell ref="J122:K122"/>
    <mergeCell ref="C123:F123"/>
    <mergeCell ref="J123:K123"/>
    <mergeCell ref="C124:F124"/>
    <mergeCell ref="J124:K124"/>
    <mergeCell ref="J137:K137"/>
    <mergeCell ref="C139:F139"/>
    <mergeCell ref="J139:K139"/>
    <mergeCell ref="C140:F140"/>
    <mergeCell ref="J140:K140"/>
    <mergeCell ref="C141:F141"/>
    <mergeCell ref="J141:K141"/>
    <mergeCell ref="C134:F134"/>
    <mergeCell ref="J134:K134"/>
    <mergeCell ref="C135:F135"/>
    <mergeCell ref="J135:K135"/>
    <mergeCell ref="C136:F136"/>
    <mergeCell ref="J136:K136"/>
    <mergeCell ref="C131:F131"/>
    <mergeCell ref="J131:K131"/>
    <mergeCell ref="C132:F132"/>
    <mergeCell ref="J132:K132"/>
    <mergeCell ref="C133:F133"/>
    <mergeCell ref="J133:K133"/>
    <mergeCell ref="C148:F148"/>
    <mergeCell ref="J148:K148"/>
    <mergeCell ref="C149:F149"/>
    <mergeCell ref="J149:K149"/>
    <mergeCell ref="C150:F150"/>
    <mergeCell ref="J150:K150"/>
    <mergeCell ref="C145:F145"/>
    <mergeCell ref="J145:K145"/>
    <mergeCell ref="C146:F146"/>
    <mergeCell ref="J146:K146"/>
    <mergeCell ref="C147:F147"/>
    <mergeCell ref="J147:K147"/>
    <mergeCell ref="C142:F142"/>
    <mergeCell ref="J142:K142"/>
    <mergeCell ref="C143:F143"/>
    <mergeCell ref="J143:K143"/>
    <mergeCell ref="C144:F144"/>
    <mergeCell ref="J144:K144"/>
    <mergeCell ref="C157:F157"/>
    <mergeCell ref="J157:K157"/>
    <mergeCell ref="C158:F158"/>
    <mergeCell ref="J158:K158"/>
    <mergeCell ref="C159:F159"/>
    <mergeCell ref="J159:K159"/>
    <mergeCell ref="C154:F154"/>
    <mergeCell ref="J154:K154"/>
    <mergeCell ref="C155:F155"/>
    <mergeCell ref="J155:K155"/>
    <mergeCell ref="C156:F156"/>
    <mergeCell ref="J156:K156"/>
    <mergeCell ref="C151:F151"/>
    <mergeCell ref="J151:K151"/>
    <mergeCell ref="C152:F152"/>
    <mergeCell ref="J152:K152"/>
    <mergeCell ref="C153:F153"/>
    <mergeCell ref="J153:K153"/>
    <mergeCell ref="C168:F168"/>
    <mergeCell ref="J168:K168"/>
    <mergeCell ref="C169:F169"/>
    <mergeCell ref="J169:K169"/>
    <mergeCell ref="C170:F170"/>
    <mergeCell ref="J170:K170"/>
    <mergeCell ref="C165:F165"/>
    <mergeCell ref="J165:K165"/>
    <mergeCell ref="C166:F166"/>
    <mergeCell ref="J166:K166"/>
    <mergeCell ref="C167:F167"/>
    <mergeCell ref="J167:K167"/>
    <mergeCell ref="C160:F160"/>
    <mergeCell ref="J160:K160"/>
    <mergeCell ref="C161:F161"/>
    <mergeCell ref="J161:K161"/>
    <mergeCell ref="J162:K162"/>
    <mergeCell ref="C164:F164"/>
    <mergeCell ref="J164:K164"/>
    <mergeCell ref="C177:F177"/>
    <mergeCell ref="J177:K177"/>
    <mergeCell ref="J178:K178"/>
    <mergeCell ref="C180:F180"/>
    <mergeCell ref="J180:K180"/>
    <mergeCell ref="C181:F181"/>
    <mergeCell ref="J181:K181"/>
    <mergeCell ref="C174:F174"/>
    <mergeCell ref="J174:K174"/>
    <mergeCell ref="C175:F175"/>
    <mergeCell ref="J175:K175"/>
    <mergeCell ref="C176:F176"/>
    <mergeCell ref="J176:K176"/>
    <mergeCell ref="C171:F171"/>
    <mergeCell ref="J171:K171"/>
    <mergeCell ref="C172:F172"/>
    <mergeCell ref="J172:K172"/>
    <mergeCell ref="C173:F173"/>
    <mergeCell ref="J173:K173"/>
    <mergeCell ref="C188:F188"/>
    <mergeCell ref="J188:K188"/>
    <mergeCell ref="C189:F189"/>
    <mergeCell ref="J189:K189"/>
    <mergeCell ref="C190:F190"/>
    <mergeCell ref="J190:K190"/>
    <mergeCell ref="C185:F185"/>
    <mergeCell ref="J185:K185"/>
    <mergeCell ref="C186:F186"/>
    <mergeCell ref="J186:K186"/>
    <mergeCell ref="C187:F187"/>
    <mergeCell ref="J187:K187"/>
    <mergeCell ref="C182:F182"/>
    <mergeCell ref="J182:K182"/>
    <mergeCell ref="C183:F183"/>
    <mergeCell ref="J183:K183"/>
    <mergeCell ref="C184:F184"/>
    <mergeCell ref="J184:K184"/>
    <mergeCell ref="C197:F197"/>
    <mergeCell ref="J197:K197"/>
    <mergeCell ref="C198:F198"/>
    <mergeCell ref="J198:K198"/>
    <mergeCell ref="C199:F199"/>
    <mergeCell ref="J199:K199"/>
    <mergeCell ref="C194:F194"/>
    <mergeCell ref="J194:K194"/>
    <mergeCell ref="C195:F195"/>
    <mergeCell ref="J195:K195"/>
    <mergeCell ref="C196:F196"/>
    <mergeCell ref="J196:K196"/>
    <mergeCell ref="C191:F191"/>
    <mergeCell ref="J191:K191"/>
    <mergeCell ref="C192:F192"/>
    <mergeCell ref="J192:K192"/>
    <mergeCell ref="C193:F193"/>
    <mergeCell ref="J193:K193"/>
    <mergeCell ref="C208:F208"/>
    <mergeCell ref="J208:K208"/>
    <mergeCell ref="C209:F209"/>
    <mergeCell ref="J209:K209"/>
    <mergeCell ref="C210:F210"/>
    <mergeCell ref="J210:K210"/>
    <mergeCell ref="C205:F205"/>
    <mergeCell ref="J205:K205"/>
    <mergeCell ref="C206:F206"/>
    <mergeCell ref="J206:K206"/>
    <mergeCell ref="C207:F207"/>
    <mergeCell ref="J207:K207"/>
    <mergeCell ref="J200:K200"/>
    <mergeCell ref="C202:F202"/>
    <mergeCell ref="J202:K202"/>
    <mergeCell ref="C203:F203"/>
    <mergeCell ref="J203:K203"/>
    <mergeCell ref="C204:F204"/>
    <mergeCell ref="J204:K204"/>
    <mergeCell ref="C219:F219"/>
    <mergeCell ref="J219:K219"/>
    <mergeCell ref="J220:K220"/>
    <mergeCell ref="C222:F222"/>
    <mergeCell ref="J222:K222"/>
    <mergeCell ref="C223:F223"/>
    <mergeCell ref="J223:K223"/>
    <mergeCell ref="J214:K214"/>
    <mergeCell ref="C216:F216"/>
    <mergeCell ref="J216:K216"/>
    <mergeCell ref="C217:F217"/>
    <mergeCell ref="J217:K217"/>
    <mergeCell ref="C218:F218"/>
    <mergeCell ref="J218:K218"/>
    <mergeCell ref="C211:F211"/>
    <mergeCell ref="J211:K211"/>
    <mergeCell ref="C212:F212"/>
    <mergeCell ref="J212:K212"/>
    <mergeCell ref="C213:F213"/>
    <mergeCell ref="J213:K213"/>
    <mergeCell ref="J230:K230"/>
    <mergeCell ref="C232:F232"/>
    <mergeCell ref="J232:K232"/>
    <mergeCell ref="C233:F233"/>
    <mergeCell ref="J233:K233"/>
    <mergeCell ref="C234:F234"/>
    <mergeCell ref="J234:K234"/>
    <mergeCell ref="C227:F227"/>
    <mergeCell ref="J227:K227"/>
    <mergeCell ref="C228:F228"/>
    <mergeCell ref="J228:K228"/>
    <mergeCell ref="C229:F229"/>
    <mergeCell ref="J229:K229"/>
    <mergeCell ref="C224:F224"/>
    <mergeCell ref="J224:K224"/>
    <mergeCell ref="C225:F225"/>
    <mergeCell ref="J225:K225"/>
    <mergeCell ref="C226:F226"/>
    <mergeCell ref="J226:K226"/>
    <mergeCell ref="C243:F243"/>
    <mergeCell ref="J243:K243"/>
    <mergeCell ref="C244:F244"/>
    <mergeCell ref="J244:K244"/>
    <mergeCell ref="J245:K245"/>
    <mergeCell ref="C247:F247"/>
    <mergeCell ref="J247:K247"/>
    <mergeCell ref="C240:F240"/>
    <mergeCell ref="J240:K240"/>
    <mergeCell ref="C241:F241"/>
    <mergeCell ref="J241:K241"/>
    <mergeCell ref="C242:F242"/>
    <mergeCell ref="J242:K242"/>
    <mergeCell ref="C235:F235"/>
    <mergeCell ref="J235:K235"/>
    <mergeCell ref="J236:K236"/>
    <mergeCell ref="C238:F238"/>
    <mergeCell ref="J238:K238"/>
    <mergeCell ref="C239:F239"/>
    <mergeCell ref="J239:K239"/>
    <mergeCell ref="J254:K254"/>
    <mergeCell ref="C256:F256"/>
    <mergeCell ref="J256:K256"/>
    <mergeCell ref="C257:F257"/>
    <mergeCell ref="J257:K257"/>
    <mergeCell ref="C258:F258"/>
    <mergeCell ref="J258:K258"/>
    <mergeCell ref="C251:F251"/>
    <mergeCell ref="J251:K251"/>
    <mergeCell ref="C252:F252"/>
    <mergeCell ref="J252:K252"/>
    <mergeCell ref="C253:F253"/>
    <mergeCell ref="J253:K253"/>
    <mergeCell ref="C248:F248"/>
    <mergeCell ref="J248:K248"/>
    <mergeCell ref="C249:F249"/>
    <mergeCell ref="J249:K249"/>
    <mergeCell ref="C250:F250"/>
    <mergeCell ref="J250:K250"/>
    <mergeCell ref="C269:F269"/>
    <mergeCell ref="J269:K269"/>
    <mergeCell ref="J270:K270"/>
    <mergeCell ref="C272:F272"/>
    <mergeCell ref="J272:K272"/>
    <mergeCell ref="C273:F273"/>
    <mergeCell ref="J273:K273"/>
    <mergeCell ref="C264:F264"/>
    <mergeCell ref="J264:K264"/>
    <mergeCell ref="J265:K265"/>
    <mergeCell ref="C267:F267"/>
    <mergeCell ref="J267:K267"/>
    <mergeCell ref="C268:F268"/>
    <mergeCell ref="J268:K268"/>
    <mergeCell ref="C259:F259"/>
    <mergeCell ref="J259:K259"/>
    <mergeCell ref="J260:K260"/>
    <mergeCell ref="C262:F262"/>
    <mergeCell ref="J262:K262"/>
    <mergeCell ref="C263:F263"/>
    <mergeCell ref="J263:K263"/>
    <mergeCell ref="C284:F284"/>
    <mergeCell ref="J284:K284"/>
    <mergeCell ref="C285:F285"/>
    <mergeCell ref="J285:K285"/>
    <mergeCell ref="C286:F286"/>
    <mergeCell ref="J286:K286"/>
    <mergeCell ref="C279:F279"/>
    <mergeCell ref="J279:K279"/>
    <mergeCell ref="C280:F280"/>
    <mergeCell ref="J280:K280"/>
    <mergeCell ref="J281:K281"/>
    <mergeCell ref="C283:F283"/>
    <mergeCell ref="J283:K283"/>
    <mergeCell ref="C274:F274"/>
    <mergeCell ref="J274:K274"/>
    <mergeCell ref="C275:F275"/>
    <mergeCell ref="J275:K275"/>
    <mergeCell ref="J276:K276"/>
    <mergeCell ref="C278:F278"/>
    <mergeCell ref="J278:K278"/>
    <mergeCell ref="J293:K293"/>
    <mergeCell ref="C295:F295"/>
    <mergeCell ref="J295:K295"/>
    <mergeCell ref="C296:F296"/>
    <mergeCell ref="J296:K296"/>
    <mergeCell ref="C297:F297"/>
    <mergeCell ref="J297:K297"/>
    <mergeCell ref="C290:F290"/>
    <mergeCell ref="J290:K290"/>
    <mergeCell ref="C291:F291"/>
    <mergeCell ref="J291:K291"/>
    <mergeCell ref="C292:F292"/>
    <mergeCell ref="J292:K292"/>
    <mergeCell ref="C287:F287"/>
    <mergeCell ref="J287:K287"/>
    <mergeCell ref="C288:F288"/>
    <mergeCell ref="J288:K288"/>
    <mergeCell ref="C289:F289"/>
    <mergeCell ref="J289:K289"/>
    <mergeCell ref="C308:F308"/>
    <mergeCell ref="J308:K308"/>
    <mergeCell ref="C309:F309"/>
    <mergeCell ref="J309:K309"/>
    <mergeCell ref="C310:F310"/>
    <mergeCell ref="J310:K310"/>
    <mergeCell ref="C303:F303"/>
    <mergeCell ref="J303:K303"/>
    <mergeCell ref="C304:F304"/>
    <mergeCell ref="J304:K304"/>
    <mergeCell ref="J305:K305"/>
    <mergeCell ref="C307:F307"/>
    <mergeCell ref="J307:K307"/>
    <mergeCell ref="C298:F298"/>
    <mergeCell ref="J298:K298"/>
    <mergeCell ref="J299:K299"/>
    <mergeCell ref="C301:F301"/>
    <mergeCell ref="J301:K301"/>
    <mergeCell ref="C302:F302"/>
    <mergeCell ref="J302:K302"/>
    <mergeCell ref="C319:F319"/>
    <mergeCell ref="J319:K319"/>
    <mergeCell ref="C320:F320"/>
    <mergeCell ref="J320:K320"/>
    <mergeCell ref="C321:F321"/>
    <mergeCell ref="J321:K321"/>
    <mergeCell ref="C316:F316"/>
    <mergeCell ref="J316:K316"/>
    <mergeCell ref="C317:F317"/>
    <mergeCell ref="J317:K317"/>
    <mergeCell ref="C318:F318"/>
    <mergeCell ref="J318:K318"/>
    <mergeCell ref="J311:K311"/>
    <mergeCell ref="C313:F313"/>
    <mergeCell ref="J313:K313"/>
    <mergeCell ref="C314:F314"/>
    <mergeCell ref="J314:K314"/>
    <mergeCell ref="C315:F315"/>
    <mergeCell ref="J315:K315"/>
    <mergeCell ref="C332:F332"/>
    <mergeCell ref="J332:K332"/>
    <mergeCell ref="J333:K333"/>
    <mergeCell ref="C335:F335"/>
    <mergeCell ref="J335:K335"/>
    <mergeCell ref="C336:F336"/>
    <mergeCell ref="J336:K336"/>
    <mergeCell ref="C327:F327"/>
    <mergeCell ref="J327:K327"/>
    <mergeCell ref="J328:K328"/>
    <mergeCell ref="C330:F330"/>
    <mergeCell ref="J330:K330"/>
    <mergeCell ref="C331:F331"/>
    <mergeCell ref="J331:K331"/>
    <mergeCell ref="C322:F322"/>
    <mergeCell ref="J322:K322"/>
    <mergeCell ref="J323:K323"/>
    <mergeCell ref="C325:F325"/>
    <mergeCell ref="J325:K325"/>
    <mergeCell ref="C326:F326"/>
    <mergeCell ref="J326:K326"/>
    <mergeCell ref="C347:F347"/>
    <mergeCell ref="J347:K347"/>
    <mergeCell ref="C348:F348"/>
    <mergeCell ref="J348:K348"/>
    <mergeCell ref="C349:F349"/>
    <mergeCell ref="J349:K349"/>
    <mergeCell ref="C342:F342"/>
    <mergeCell ref="J342:K342"/>
    <mergeCell ref="J343:K343"/>
    <mergeCell ref="C345:F345"/>
    <mergeCell ref="J345:K345"/>
    <mergeCell ref="C346:F346"/>
    <mergeCell ref="J346:K346"/>
    <mergeCell ref="C337:F337"/>
    <mergeCell ref="J337:K337"/>
    <mergeCell ref="J338:K338"/>
    <mergeCell ref="C340:F340"/>
    <mergeCell ref="J340:K340"/>
    <mergeCell ref="C341:F341"/>
    <mergeCell ref="J341:K341"/>
    <mergeCell ref="C358:F358"/>
    <mergeCell ref="J358:K358"/>
    <mergeCell ref="C359:F359"/>
    <mergeCell ref="J359:K359"/>
    <mergeCell ref="C360:F360"/>
    <mergeCell ref="J360:K360"/>
    <mergeCell ref="C353:F353"/>
    <mergeCell ref="J353:K353"/>
    <mergeCell ref="C354:F354"/>
    <mergeCell ref="J354:K354"/>
    <mergeCell ref="J355:K355"/>
    <mergeCell ref="C357:F357"/>
    <mergeCell ref="J357:K357"/>
    <mergeCell ref="C350:F350"/>
    <mergeCell ref="J350:K350"/>
    <mergeCell ref="C351:F351"/>
    <mergeCell ref="J351:K351"/>
    <mergeCell ref="C352:F352"/>
    <mergeCell ref="J352:K352"/>
    <mergeCell ref="J367:K367"/>
    <mergeCell ref="C369:F369"/>
    <mergeCell ref="J369:K369"/>
    <mergeCell ref="C370:F370"/>
    <mergeCell ref="J370:K370"/>
    <mergeCell ref="C371:F371"/>
    <mergeCell ref="J371:K371"/>
    <mergeCell ref="C364:F364"/>
    <mergeCell ref="J364:K364"/>
    <mergeCell ref="C365:F365"/>
    <mergeCell ref="J365:K365"/>
    <mergeCell ref="C366:F366"/>
    <mergeCell ref="J366:K366"/>
    <mergeCell ref="C361:F361"/>
    <mergeCell ref="J361:K361"/>
    <mergeCell ref="C362:F362"/>
    <mergeCell ref="J362:K362"/>
    <mergeCell ref="C363:F363"/>
    <mergeCell ref="J363:K363"/>
    <mergeCell ref="C378:F378"/>
    <mergeCell ref="J378:K378"/>
    <mergeCell ref="J379:K379"/>
    <mergeCell ref="C381:F381"/>
    <mergeCell ref="J381:K381"/>
    <mergeCell ref="C382:F382"/>
    <mergeCell ref="J382:K382"/>
    <mergeCell ref="C375:F375"/>
    <mergeCell ref="J375:K375"/>
    <mergeCell ref="C376:F376"/>
    <mergeCell ref="J376:K376"/>
    <mergeCell ref="C377:F377"/>
    <mergeCell ref="J377:K377"/>
    <mergeCell ref="C372:F372"/>
    <mergeCell ref="J372:K372"/>
    <mergeCell ref="C373:F373"/>
    <mergeCell ref="J373:K373"/>
    <mergeCell ref="C374:F374"/>
    <mergeCell ref="J374:K374"/>
    <mergeCell ref="C389:F389"/>
    <mergeCell ref="J389:K389"/>
    <mergeCell ref="C390:F390"/>
    <mergeCell ref="J390:K390"/>
    <mergeCell ref="J391:K391"/>
    <mergeCell ref="C393:F393"/>
    <mergeCell ref="J393:K393"/>
    <mergeCell ref="C386:F386"/>
    <mergeCell ref="J386:K386"/>
    <mergeCell ref="C387:F387"/>
    <mergeCell ref="J387:K387"/>
    <mergeCell ref="C388:F388"/>
    <mergeCell ref="J388:K388"/>
    <mergeCell ref="C383:F383"/>
    <mergeCell ref="J383:K383"/>
    <mergeCell ref="C384:F384"/>
    <mergeCell ref="J384:K384"/>
    <mergeCell ref="C385:F385"/>
    <mergeCell ref="J385:K385"/>
    <mergeCell ref="C400:F400"/>
    <mergeCell ref="J400:K400"/>
    <mergeCell ref="C401:F401"/>
    <mergeCell ref="J401:K401"/>
    <mergeCell ref="J402:K402"/>
    <mergeCell ref="C404:F404"/>
    <mergeCell ref="J404:K404"/>
    <mergeCell ref="C397:F397"/>
    <mergeCell ref="J397:K397"/>
    <mergeCell ref="C398:F398"/>
    <mergeCell ref="J398:K398"/>
    <mergeCell ref="C399:F399"/>
    <mergeCell ref="J399:K399"/>
    <mergeCell ref="C394:F394"/>
    <mergeCell ref="J394:K394"/>
    <mergeCell ref="C395:F395"/>
    <mergeCell ref="J395:K395"/>
    <mergeCell ref="C396:F396"/>
    <mergeCell ref="J396:K396"/>
    <mergeCell ref="J411:K411"/>
    <mergeCell ref="C413:F413"/>
    <mergeCell ref="J413:K413"/>
    <mergeCell ref="C414:F414"/>
    <mergeCell ref="J414:K414"/>
    <mergeCell ref="C415:F415"/>
    <mergeCell ref="J415:K415"/>
    <mergeCell ref="C408:F408"/>
    <mergeCell ref="J408:K408"/>
    <mergeCell ref="C409:F409"/>
    <mergeCell ref="J409:K409"/>
    <mergeCell ref="C410:F410"/>
    <mergeCell ref="J410:K410"/>
    <mergeCell ref="C405:F405"/>
    <mergeCell ref="J405:K405"/>
    <mergeCell ref="C406:F406"/>
    <mergeCell ref="J406:K406"/>
    <mergeCell ref="C407:F407"/>
    <mergeCell ref="J407:K407"/>
    <mergeCell ref="C422:F422"/>
    <mergeCell ref="J422:K422"/>
    <mergeCell ref="J423:K423"/>
    <mergeCell ref="C425:F425"/>
    <mergeCell ref="J425:K425"/>
    <mergeCell ref="C426:F426"/>
    <mergeCell ref="J426:K426"/>
    <mergeCell ref="C419:F419"/>
    <mergeCell ref="J419:K419"/>
    <mergeCell ref="C420:F420"/>
    <mergeCell ref="J420:K420"/>
    <mergeCell ref="C421:F421"/>
    <mergeCell ref="J421:K421"/>
    <mergeCell ref="C416:F416"/>
    <mergeCell ref="J416:K416"/>
    <mergeCell ref="C417:F417"/>
    <mergeCell ref="J417:K417"/>
    <mergeCell ref="C418:F418"/>
    <mergeCell ref="J418:K418"/>
    <mergeCell ref="C433:F433"/>
    <mergeCell ref="J433:K433"/>
    <mergeCell ref="C434:F434"/>
    <mergeCell ref="J434:K434"/>
    <mergeCell ref="J435:K435"/>
    <mergeCell ref="C437:F437"/>
    <mergeCell ref="J437:K437"/>
    <mergeCell ref="C430:F430"/>
    <mergeCell ref="J430:K430"/>
    <mergeCell ref="C431:F431"/>
    <mergeCell ref="J431:K431"/>
    <mergeCell ref="C432:F432"/>
    <mergeCell ref="J432:K432"/>
    <mergeCell ref="C427:F427"/>
    <mergeCell ref="J427:K427"/>
    <mergeCell ref="C428:F428"/>
    <mergeCell ref="J428:K428"/>
    <mergeCell ref="C429:F429"/>
    <mergeCell ref="J429:K429"/>
    <mergeCell ref="C446:F446"/>
    <mergeCell ref="J446:K446"/>
    <mergeCell ref="C447:F447"/>
    <mergeCell ref="J447:K447"/>
    <mergeCell ref="C448:F448"/>
    <mergeCell ref="J448:K448"/>
    <mergeCell ref="C441:F441"/>
    <mergeCell ref="J441:K441"/>
    <mergeCell ref="J442:K442"/>
    <mergeCell ref="C444:F444"/>
    <mergeCell ref="J444:K444"/>
    <mergeCell ref="C445:F445"/>
    <mergeCell ref="J445:K445"/>
    <mergeCell ref="C438:F438"/>
    <mergeCell ref="J438:K438"/>
    <mergeCell ref="C439:F439"/>
    <mergeCell ref="J439:K439"/>
    <mergeCell ref="C440:F440"/>
    <mergeCell ref="J440:K440"/>
    <mergeCell ref="C459:F459"/>
    <mergeCell ref="J459:K459"/>
    <mergeCell ref="C460:F460"/>
    <mergeCell ref="J460:K460"/>
    <mergeCell ref="C461:F461"/>
    <mergeCell ref="J461:K461"/>
    <mergeCell ref="C454:F454"/>
    <mergeCell ref="J454:K454"/>
    <mergeCell ref="C455:F455"/>
    <mergeCell ref="J455:K455"/>
    <mergeCell ref="J456:K456"/>
    <mergeCell ref="C458:F458"/>
    <mergeCell ref="J458:K458"/>
    <mergeCell ref="J449:K449"/>
    <mergeCell ref="C451:F451"/>
    <mergeCell ref="J451:K451"/>
    <mergeCell ref="C452:F452"/>
    <mergeCell ref="J452:K452"/>
    <mergeCell ref="C453:F453"/>
    <mergeCell ref="J453:K453"/>
    <mergeCell ref="J470:K470"/>
    <mergeCell ref="C472:F472"/>
    <mergeCell ref="J472:K472"/>
    <mergeCell ref="C473:F473"/>
    <mergeCell ref="J473:K473"/>
    <mergeCell ref="C474:F474"/>
    <mergeCell ref="J474:K474"/>
    <mergeCell ref="C467:F467"/>
    <mergeCell ref="J467:K467"/>
    <mergeCell ref="C468:F468"/>
    <mergeCell ref="J468:K468"/>
    <mergeCell ref="C469:F469"/>
    <mergeCell ref="J469:K469"/>
    <mergeCell ref="C462:F462"/>
    <mergeCell ref="J462:K462"/>
    <mergeCell ref="J463:K463"/>
    <mergeCell ref="C465:F465"/>
    <mergeCell ref="J465:K465"/>
    <mergeCell ref="C466:F466"/>
    <mergeCell ref="J466:K466"/>
    <mergeCell ref="C485:F485"/>
    <mergeCell ref="J485:K485"/>
    <mergeCell ref="C486:F486"/>
    <mergeCell ref="J486:K486"/>
    <mergeCell ref="C487:F487"/>
    <mergeCell ref="J487:K487"/>
    <mergeCell ref="C480:F480"/>
    <mergeCell ref="J480:K480"/>
    <mergeCell ref="C481:F481"/>
    <mergeCell ref="J481:K481"/>
    <mergeCell ref="J482:K482"/>
    <mergeCell ref="C484:F484"/>
    <mergeCell ref="J484:K484"/>
    <mergeCell ref="C475:F475"/>
    <mergeCell ref="J475:K475"/>
    <mergeCell ref="J476:K476"/>
    <mergeCell ref="C478:F478"/>
    <mergeCell ref="J478:K478"/>
    <mergeCell ref="C479:F479"/>
    <mergeCell ref="J479:K479"/>
    <mergeCell ref="C498:F498"/>
    <mergeCell ref="J498:K498"/>
    <mergeCell ref="C499:F499"/>
    <mergeCell ref="J499:K499"/>
    <mergeCell ref="C500:F500"/>
    <mergeCell ref="J500:K500"/>
    <mergeCell ref="C493:F493"/>
    <mergeCell ref="J493:K493"/>
    <mergeCell ref="C494:F494"/>
    <mergeCell ref="J494:K494"/>
    <mergeCell ref="J495:K495"/>
    <mergeCell ref="C497:F497"/>
    <mergeCell ref="J497:K497"/>
    <mergeCell ref="J488:K488"/>
    <mergeCell ref="C490:F490"/>
    <mergeCell ref="J490:K490"/>
    <mergeCell ref="C491:F491"/>
    <mergeCell ref="J491:K491"/>
    <mergeCell ref="C492:F492"/>
    <mergeCell ref="J492:K492"/>
    <mergeCell ref="J509:K509"/>
    <mergeCell ref="C511:F511"/>
    <mergeCell ref="J511:K511"/>
    <mergeCell ref="C512:F512"/>
    <mergeCell ref="J512:K512"/>
    <mergeCell ref="C513:F513"/>
    <mergeCell ref="J513:K513"/>
    <mergeCell ref="C506:F506"/>
    <mergeCell ref="J506:K506"/>
    <mergeCell ref="C507:F507"/>
    <mergeCell ref="J507:K507"/>
    <mergeCell ref="C508:F508"/>
    <mergeCell ref="J508:K508"/>
    <mergeCell ref="C501:F501"/>
    <mergeCell ref="J501:K501"/>
    <mergeCell ref="J502:K502"/>
    <mergeCell ref="C504:F504"/>
    <mergeCell ref="J504:K504"/>
    <mergeCell ref="C505:F505"/>
    <mergeCell ref="J505:K505"/>
    <mergeCell ref="C520:F520"/>
    <mergeCell ref="J520:K520"/>
    <mergeCell ref="J521:K521"/>
    <mergeCell ref="C523:F523"/>
    <mergeCell ref="J523:K523"/>
    <mergeCell ref="C524:F524"/>
    <mergeCell ref="J524:K524"/>
    <mergeCell ref="C517:F517"/>
    <mergeCell ref="J517:K517"/>
    <mergeCell ref="C518:F518"/>
    <mergeCell ref="J518:K518"/>
    <mergeCell ref="C519:F519"/>
    <mergeCell ref="J519:K519"/>
    <mergeCell ref="C514:F514"/>
    <mergeCell ref="J514:K514"/>
    <mergeCell ref="C515:F515"/>
    <mergeCell ref="J515:K515"/>
    <mergeCell ref="C516:F516"/>
    <mergeCell ref="J516:K516"/>
    <mergeCell ref="C533:F533"/>
    <mergeCell ref="J533:K533"/>
    <mergeCell ref="C534:F534"/>
    <mergeCell ref="J534:K534"/>
    <mergeCell ref="J535:K535"/>
    <mergeCell ref="C537:F537"/>
    <mergeCell ref="J537:K537"/>
    <mergeCell ref="C528:F528"/>
    <mergeCell ref="J528:K528"/>
    <mergeCell ref="J529:K529"/>
    <mergeCell ref="C531:F531"/>
    <mergeCell ref="J531:K531"/>
    <mergeCell ref="C532:F532"/>
    <mergeCell ref="J532:K532"/>
    <mergeCell ref="C525:F525"/>
    <mergeCell ref="J525:K525"/>
    <mergeCell ref="C526:F526"/>
    <mergeCell ref="J526:K526"/>
    <mergeCell ref="C527:F527"/>
    <mergeCell ref="J527:K527"/>
    <mergeCell ref="J544:K544"/>
    <mergeCell ref="C546:F546"/>
    <mergeCell ref="J546:K546"/>
    <mergeCell ref="C547:F547"/>
    <mergeCell ref="J547:K547"/>
    <mergeCell ref="C548:F548"/>
    <mergeCell ref="J548:K548"/>
    <mergeCell ref="C541:F541"/>
    <mergeCell ref="J541:K541"/>
    <mergeCell ref="C542:F542"/>
    <mergeCell ref="J542:K542"/>
    <mergeCell ref="C543:F543"/>
    <mergeCell ref="J543:K543"/>
    <mergeCell ref="C538:F538"/>
    <mergeCell ref="J538:K538"/>
    <mergeCell ref="C539:F539"/>
    <mergeCell ref="J539:K539"/>
    <mergeCell ref="C540:F540"/>
    <mergeCell ref="J540:K540"/>
    <mergeCell ref="C557:F557"/>
    <mergeCell ref="J557:K557"/>
    <mergeCell ref="C558:F558"/>
    <mergeCell ref="J558:K558"/>
    <mergeCell ref="C559:F559"/>
    <mergeCell ref="J559:K559"/>
    <mergeCell ref="C554:F554"/>
    <mergeCell ref="J554:K554"/>
    <mergeCell ref="C555:F555"/>
    <mergeCell ref="J555:K555"/>
    <mergeCell ref="C556:F556"/>
    <mergeCell ref="J556:K556"/>
    <mergeCell ref="C549:F549"/>
    <mergeCell ref="J549:K549"/>
    <mergeCell ref="C550:F550"/>
    <mergeCell ref="J550:K550"/>
    <mergeCell ref="J551:K551"/>
    <mergeCell ref="C553:F553"/>
    <mergeCell ref="J553:K553"/>
    <mergeCell ref="C568:F568"/>
    <mergeCell ref="J568:K568"/>
    <mergeCell ref="J569:K569"/>
    <mergeCell ref="C571:F571"/>
    <mergeCell ref="J571:K571"/>
    <mergeCell ref="C572:F572"/>
    <mergeCell ref="J572:K572"/>
    <mergeCell ref="C563:F563"/>
    <mergeCell ref="J563:K563"/>
    <mergeCell ref="J564:K564"/>
    <mergeCell ref="C566:F566"/>
    <mergeCell ref="J566:K566"/>
    <mergeCell ref="C567:F567"/>
    <mergeCell ref="J567:K567"/>
    <mergeCell ref="C560:F560"/>
    <mergeCell ref="J560:K560"/>
    <mergeCell ref="C561:F561"/>
    <mergeCell ref="J561:K561"/>
    <mergeCell ref="C562:F562"/>
    <mergeCell ref="J562:K562"/>
    <mergeCell ref="C583:F583"/>
    <mergeCell ref="J583:K583"/>
    <mergeCell ref="C584:F584"/>
    <mergeCell ref="J584:K584"/>
    <mergeCell ref="C585:F585"/>
    <mergeCell ref="J585:K585"/>
    <mergeCell ref="C578:F578"/>
    <mergeCell ref="J578:K578"/>
    <mergeCell ref="J579:K579"/>
    <mergeCell ref="C581:F581"/>
    <mergeCell ref="J581:K581"/>
    <mergeCell ref="C582:F582"/>
    <mergeCell ref="J582:K582"/>
    <mergeCell ref="C573:F573"/>
    <mergeCell ref="J573:K573"/>
    <mergeCell ref="J574:K574"/>
    <mergeCell ref="C576:F576"/>
    <mergeCell ref="J576:K576"/>
    <mergeCell ref="C577:F577"/>
    <mergeCell ref="J577:K577"/>
    <mergeCell ref="C594:F594"/>
    <mergeCell ref="J594:K594"/>
    <mergeCell ref="C595:F595"/>
    <mergeCell ref="J595:K595"/>
    <mergeCell ref="C596:F596"/>
    <mergeCell ref="J596:K596"/>
    <mergeCell ref="J589:K589"/>
    <mergeCell ref="C591:F591"/>
    <mergeCell ref="J591:K591"/>
    <mergeCell ref="C592:F592"/>
    <mergeCell ref="J592:K592"/>
    <mergeCell ref="C593:F593"/>
    <mergeCell ref="J593:K593"/>
    <mergeCell ref="C586:F586"/>
    <mergeCell ref="J586:K586"/>
    <mergeCell ref="C587:F587"/>
    <mergeCell ref="J587:K587"/>
    <mergeCell ref="C588:F588"/>
    <mergeCell ref="J588:K588"/>
    <mergeCell ref="C605:F605"/>
    <mergeCell ref="J605:K605"/>
    <mergeCell ref="C606:F606"/>
    <mergeCell ref="J606:K606"/>
    <mergeCell ref="C607:F607"/>
    <mergeCell ref="J607:K607"/>
    <mergeCell ref="C602:F602"/>
    <mergeCell ref="J602:K602"/>
    <mergeCell ref="C603:F603"/>
    <mergeCell ref="J603:K603"/>
    <mergeCell ref="C604:F604"/>
    <mergeCell ref="J604:K604"/>
    <mergeCell ref="J597:K597"/>
    <mergeCell ref="C599:F599"/>
    <mergeCell ref="J599:K599"/>
    <mergeCell ref="C600:F600"/>
    <mergeCell ref="J600:K600"/>
    <mergeCell ref="C601:F601"/>
    <mergeCell ref="J601:K601"/>
    <mergeCell ref="C618:F618"/>
    <mergeCell ref="J618:K618"/>
    <mergeCell ref="J619:K619"/>
    <mergeCell ref="C621:F621"/>
    <mergeCell ref="J621:K621"/>
    <mergeCell ref="C622:F622"/>
    <mergeCell ref="J622:K622"/>
    <mergeCell ref="C613:F613"/>
    <mergeCell ref="J613:K613"/>
    <mergeCell ref="J614:K614"/>
    <mergeCell ref="C616:F616"/>
    <mergeCell ref="J616:K616"/>
    <mergeCell ref="C617:F617"/>
    <mergeCell ref="J617:K617"/>
    <mergeCell ref="C608:F608"/>
    <mergeCell ref="J608:K608"/>
    <mergeCell ref="J609:K609"/>
    <mergeCell ref="C611:F611"/>
    <mergeCell ref="J611:K611"/>
    <mergeCell ref="C612:F612"/>
    <mergeCell ref="J612:K612"/>
    <mergeCell ref="C633:F633"/>
    <mergeCell ref="J633:K633"/>
    <mergeCell ref="J634:K634"/>
    <mergeCell ref="C636:F636"/>
    <mergeCell ref="J636:K636"/>
    <mergeCell ref="C637:F637"/>
    <mergeCell ref="J637:K637"/>
    <mergeCell ref="C628:F628"/>
    <mergeCell ref="J628:K628"/>
    <mergeCell ref="J629:K629"/>
    <mergeCell ref="C631:F631"/>
    <mergeCell ref="J631:K631"/>
    <mergeCell ref="C632:F632"/>
    <mergeCell ref="J632:K632"/>
    <mergeCell ref="C623:F623"/>
    <mergeCell ref="J623:K623"/>
    <mergeCell ref="J624:K624"/>
    <mergeCell ref="C626:F626"/>
    <mergeCell ref="J626:K626"/>
    <mergeCell ref="C627:F627"/>
    <mergeCell ref="J627:K627"/>
    <mergeCell ref="C646:F646"/>
    <mergeCell ref="J646:K646"/>
    <mergeCell ref="C647:F647"/>
    <mergeCell ref="J647:K647"/>
    <mergeCell ref="C648:F648"/>
    <mergeCell ref="J648:K648"/>
    <mergeCell ref="C643:F643"/>
    <mergeCell ref="J643:K643"/>
    <mergeCell ref="C644:F644"/>
    <mergeCell ref="J644:K644"/>
    <mergeCell ref="C645:F645"/>
    <mergeCell ref="J645:K645"/>
    <mergeCell ref="C638:F638"/>
    <mergeCell ref="J638:K638"/>
    <mergeCell ref="J639:K639"/>
    <mergeCell ref="C641:F641"/>
    <mergeCell ref="J641:K641"/>
    <mergeCell ref="C642:F642"/>
    <mergeCell ref="J642:K642"/>
    <mergeCell ref="C659:F659"/>
    <mergeCell ref="J659:K659"/>
    <mergeCell ref="C660:F660"/>
    <mergeCell ref="J660:K660"/>
    <mergeCell ref="J661:K661"/>
    <mergeCell ref="C663:F663"/>
    <mergeCell ref="J663:K663"/>
    <mergeCell ref="C654:F654"/>
    <mergeCell ref="J654:K654"/>
    <mergeCell ref="C655:F655"/>
    <mergeCell ref="J655:K655"/>
    <mergeCell ref="J656:K656"/>
    <mergeCell ref="C658:F658"/>
    <mergeCell ref="J658:K658"/>
    <mergeCell ref="C649:F649"/>
    <mergeCell ref="J649:K649"/>
    <mergeCell ref="C650:F650"/>
    <mergeCell ref="J650:K650"/>
    <mergeCell ref="J651:K651"/>
    <mergeCell ref="C653:F653"/>
    <mergeCell ref="J653:K653"/>
    <mergeCell ref="C672:F672"/>
    <mergeCell ref="J672:K672"/>
    <mergeCell ref="C673:F673"/>
    <mergeCell ref="J673:K673"/>
    <mergeCell ref="C674:F674"/>
    <mergeCell ref="J674:K674"/>
    <mergeCell ref="C669:F669"/>
    <mergeCell ref="J669:K669"/>
    <mergeCell ref="C670:F670"/>
    <mergeCell ref="J670:K670"/>
    <mergeCell ref="C671:F671"/>
    <mergeCell ref="J671:K671"/>
    <mergeCell ref="C664:F664"/>
    <mergeCell ref="J664:K664"/>
    <mergeCell ref="C665:F665"/>
    <mergeCell ref="J665:K665"/>
    <mergeCell ref="J666:K666"/>
    <mergeCell ref="C668:F668"/>
    <mergeCell ref="J668:K668"/>
    <mergeCell ref="C683:F683"/>
    <mergeCell ref="J683:K683"/>
    <mergeCell ref="C684:F684"/>
    <mergeCell ref="J684:K684"/>
    <mergeCell ref="C685:F685"/>
    <mergeCell ref="J685:K685"/>
    <mergeCell ref="J678:K678"/>
    <mergeCell ref="C680:F680"/>
    <mergeCell ref="J680:K680"/>
    <mergeCell ref="C681:F681"/>
    <mergeCell ref="J681:K681"/>
    <mergeCell ref="C682:F682"/>
    <mergeCell ref="J682:K682"/>
    <mergeCell ref="C675:F675"/>
    <mergeCell ref="J675:K675"/>
    <mergeCell ref="C676:F676"/>
    <mergeCell ref="J676:K676"/>
    <mergeCell ref="C677:F677"/>
    <mergeCell ref="J677:K677"/>
    <mergeCell ref="C694:F694"/>
    <mergeCell ref="J694:K694"/>
    <mergeCell ref="C695:F695"/>
    <mergeCell ref="J695:K695"/>
    <mergeCell ref="C696:F696"/>
    <mergeCell ref="J696:K696"/>
    <mergeCell ref="C689:F689"/>
    <mergeCell ref="J689:K689"/>
    <mergeCell ref="J690:K690"/>
    <mergeCell ref="C692:F692"/>
    <mergeCell ref="J692:K692"/>
    <mergeCell ref="C693:F693"/>
    <mergeCell ref="J693:K693"/>
    <mergeCell ref="C686:F686"/>
    <mergeCell ref="J686:K686"/>
    <mergeCell ref="C687:F687"/>
    <mergeCell ref="J687:K687"/>
    <mergeCell ref="C688:F688"/>
    <mergeCell ref="J688:K688"/>
    <mergeCell ref="C705:F705"/>
    <mergeCell ref="J705:K705"/>
    <mergeCell ref="C706:F706"/>
    <mergeCell ref="J706:K706"/>
    <mergeCell ref="C707:F707"/>
    <mergeCell ref="J707:K707"/>
    <mergeCell ref="C702:F702"/>
    <mergeCell ref="J702:K702"/>
    <mergeCell ref="C703:F703"/>
    <mergeCell ref="J703:K703"/>
    <mergeCell ref="C704:F704"/>
    <mergeCell ref="J704:K704"/>
    <mergeCell ref="J697:K697"/>
    <mergeCell ref="C699:F699"/>
    <mergeCell ref="J699:K699"/>
    <mergeCell ref="C700:F700"/>
    <mergeCell ref="J700:K700"/>
    <mergeCell ref="C701:F701"/>
    <mergeCell ref="J701:K701"/>
    <mergeCell ref="C714:F714"/>
    <mergeCell ref="J714:K714"/>
    <mergeCell ref="C715:F715"/>
    <mergeCell ref="J715:K715"/>
    <mergeCell ref="C716:F716"/>
    <mergeCell ref="J716:K716"/>
    <mergeCell ref="C711:F711"/>
    <mergeCell ref="J711:K711"/>
    <mergeCell ref="C712:F712"/>
    <mergeCell ref="J712:K712"/>
    <mergeCell ref="C713:F713"/>
    <mergeCell ref="J713:K713"/>
    <mergeCell ref="C708:F708"/>
    <mergeCell ref="J708:K708"/>
    <mergeCell ref="C709:F709"/>
    <mergeCell ref="J709:K709"/>
    <mergeCell ref="C710:F710"/>
    <mergeCell ref="J710:K710"/>
    <mergeCell ref="C725:F725"/>
    <mergeCell ref="J725:K725"/>
    <mergeCell ref="C726:F726"/>
    <mergeCell ref="J726:K726"/>
    <mergeCell ref="C727:F727"/>
    <mergeCell ref="J727:K727"/>
    <mergeCell ref="C720:F720"/>
    <mergeCell ref="J720:K720"/>
    <mergeCell ref="J721:K721"/>
    <mergeCell ref="C723:F723"/>
    <mergeCell ref="J723:K723"/>
    <mergeCell ref="C724:F724"/>
    <mergeCell ref="J724:K724"/>
    <mergeCell ref="C717:F717"/>
    <mergeCell ref="J717:K717"/>
    <mergeCell ref="C718:F718"/>
    <mergeCell ref="J718:K718"/>
    <mergeCell ref="C719:F719"/>
    <mergeCell ref="J719:K719"/>
    <mergeCell ref="C736:F736"/>
    <mergeCell ref="J736:K736"/>
    <mergeCell ref="C737:F737"/>
    <mergeCell ref="J737:K737"/>
    <mergeCell ref="C738:F738"/>
    <mergeCell ref="J738:K738"/>
    <mergeCell ref="J731:K731"/>
    <mergeCell ref="C733:F733"/>
    <mergeCell ref="J733:K733"/>
    <mergeCell ref="C734:F734"/>
    <mergeCell ref="J734:K734"/>
    <mergeCell ref="C735:F735"/>
    <mergeCell ref="J735:K735"/>
    <mergeCell ref="C728:F728"/>
    <mergeCell ref="J728:K728"/>
    <mergeCell ref="C729:F729"/>
    <mergeCell ref="J729:K729"/>
    <mergeCell ref="C730:F730"/>
    <mergeCell ref="J730:K730"/>
    <mergeCell ref="C747:F747"/>
    <mergeCell ref="J747:K747"/>
    <mergeCell ref="C748:F748"/>
    <mergeCell ref="J748:K748"/>
    <mergeCell ref="C749:F749"/>
    <mergeCell ref="J749:K749"/>
    <mergeCell ref="C742:F742"/>
    <mergeCell ref="J742:K742"/>
    <mergeCell ref="J743:K743"/>
    <mergeCell ref="C745:F745"/>
    <mergeCell ref="J745:K745"/>
    <mergeCell ref="C746:F746"/>
    <mergeCell ref="J746:K746"/>
    <mergeCell ref="C739:F739"/>
    <mergeCell ref="J739:K739"/>
    <mergeCell ref="C740:F740"/>
    <mergeCell ref="J740:K740"/>
    <mergeCell ref="C741:F741"/>
    <mergeCell ref="J741:K741"/>
    <mergeCell ref="C758:F758"/>
    <mergeCell ref="J758:K758"/>
    <mergeCell ref="C759:F759"/>
    <mergeCell ref="J759:K759"/>
    <mergeCell ref="C760:F760"/>
    <mergeCell ref="J760:K760"/>
    <mergeCell ref="J753:K753"/>
    <mergeCell ref="C755:F755"/>
    <mergeCell ref="J755:K755"/>
    <mergeCell ref="C756:F756"/>
    <mergeCell ref="J756:K756"/>
    <mergeCell ref="C757:F757"/>
    <mergeCell ref="J757:K757"/>
    <mergeCell ref="C750:F750"/>
    <mergeCell ref="J750:K750"/>
    <mergeCell ref="C751:F751"/>
    <mergeCell ref="J751:K751"/>
    <mergeCell ref="C752:F752"/>
    <mergeCell ref="J752:K752"/>
    <mergeCell ref="C767:F767"/>
    <mergeCell ref="J767:K767"/>
    <mergeCell ref="C768:F768"/>
    <mergeCell ref="J768:K768"/>
    <mergeCell ref="C769:F769"/>
    <mergeCell ref="J769:K769"/>
    <mergeCell ref="C764:F764"/>
    <mergeCell ref="J764:K764"/>
    <mergeCell ref="C765:F765"/>
    <mergeCell ref="J765:K765"/>
    <mergeCell ref="C766:F766"/>
    <mergeCell ref="J766:K766"/>
    <mergeCell ref="C761:F761"/>
    <mergeCell ref="J761:K761"/>
    <mergeCell ref="C762:F762"/>
    <mergeCell ref="J762:K762"/>
    <mergeCell ref="C763:F763"/>
    <mergeCell ref="J763:K763"/>
    <mergeCell ref="C778:F778"/>
    <mergeCell ref="J778:K778"/>
    <mergeCell ref="C779:F779"/>
    <mergeCell ref="J779:K779"/>
    <mergeCell ref="C780:F780"/>
    <mergeCell ref="J780:K780"/>
    <mergeCell ref="J773:K773"/>
    <mergeCell ref="C775:F775"/>
    <mergeCell ref="J775:K775"/>
    <mergeCell ref="C776:F776"/>
    <mergeCell ref="J776:K776"/>
    <mergeCell ref="C777:F777"/>
    <mergeCell ref="J777:K777"/>
    <mergeCell ref="C770:F770"/>
    <mergeCell ref="J770:K770"/>
    <mergeCell ref="C771:F771"/>
    <mergeCell ref="J771:K771"/>
    <mergeCell ref="C772:F772"/>
    <mergeCell ref="J772:K772"/>
    <mergeCell ref="C789:F789"/>
    <mergeCell ref="J789:K789"/>
    <mergeCell ref="J790:K790"/>
    <mergeCell ref="C792:F792"/>
    <mergeCell ref="J792:K792"/>
    <mergeCell ref="C793:F793"/>
    <mergeCell ref="J793:K793"/>
    <mergeCell ref="C786:F786"/>
    <mergeCell ref="J786:K786"/>
    <mergeCell ref="C787:F787"/>
    <mergeCell ref="J787:K787"/>
    <mergeCell ref="C788:F788"/>
    <mergeCell ref="J788:K788"/>
    <mergeCell ref="C781:F781"/>
    <mergeCell ref="J781:K781"/>
    <mergeCell ref="J782:K782"/>
    <mergeCell ref="C784:F784"/>
    <mergeCell ref="J784:K784"/>
    <mergeCell ref="C785:F785"/>
    <mergeCell ref="J785:K785"/>
    <mergeCell ref="C802:F802"/>
    <mergeCell ref="J802:K802"/>
    <mergeCell ref="J803:K803"/>
    <mergeCell ref="C805:F805"/>
    <mergeCell ref="J805:K805"/>
    <mergeCell ref="C806:F806"/>
    <mergeCell ref="J806:K806"/>
    <mergeCell ref="C799:F799"/>
    <mergeCell ref="J799:K799"/>
    <mergeCell ref="C800:F800"/>
    <mergeCell ref="J800:K800"/>
    <mergeCell ref="C801:F801"/>
    <mergeCell ref="J801:K801"/>
    <mergeCell ref="C794:F794"/>
    <mergeCell ref="J794:K794"/>
    <mergeCell ref="J795:K795"/>
    <mergeCell ref="C797:F797"/>
    <mergeCell ref="J797:K797"/>
    <mergeCell ref="C798:F798"/>
    <mergeCell ref="J798:K798"/>
    <mergeCell ref="C817:F817"/>
    <mergeCell ref="J817:K817"/>
    <mergeCell ref="C818:F818"/>
    <mergeCell ref="J818:K818"/>
    <mergeCell ref="J819:K819"/>
    <mergeCell ref="C821:F821"/>
    <mergeCell ref="J821:K821"/>
    <mergeCell ref="C812:F812"/>
    <mergeCell ref="J812:K812"/>
    <mergeCell ref="C813:F813"/>
    <mergeCell ref="J813:K813"/>
    <mergeCell ref="J814:K814"/>
    <mergeCell ref="C816:F816"/>
    <mergeCell ref="J816:K816"/>
    <mergeCell ref="C807:F807"/>
    <mergeCell ref="J807:K807"/>
    <mergeCell ref="C808:F808"/>
    <mergeCell ref="J808:K808"/>
    <mergeCell ref="J809:K809"/>
    <mergeCell ref="C811:F811"/>
    <mergeCell ref="J811:K811"/>
    <mergeCell ref="C828:F828"/>
    <mergeCell ref="J828:K828"/>
    <mergeCell ref="C829:F829"/>
    <mergeCell ref="J829:K829"/>
    <mergeCell ref="C830:F830"/>
    <mergeCell ref="J830:K830"/>
    <mergeCell ref="C825:F825"/>
    <mergeCell ref="J825:K825"/>
    <mergeCell ref="C826:F826"/>
    <mergeCell ref="J826:K826"/>
    <mergeCell ref="C827:F827"/>
    <mergeCell ref="J827:K827"/>
    <mergeCell ref="C822:F822"/>
    <mergeCell ref="J822:K822"/>
    <mergeCell ref="C823:F823"/>
    <mergeCell ref="J823:K823"/>
    <mergeCell ref="C824:F824"/>
    <mergeCell ref="J824:K824"/>
    <mergeCell ref="C839:F839"/>
    <mergeCell ref="J839:K839"/>
    <mergeCell ref="C840:F840"/>
    <mergeCell ref="J840:K840"/>
    <mergeCell ref="C841:F841"/>
    <mergeCell ref="J841:K841"/>
    <mergeCell ref="C836:F836"/>
    <mergeCell ref="J836:K836"/>
    <mergeCell ref="C837:F837"/>
    <mergeCell ref="J837:K837"/>
    <mergeCell ref="C838:F838"/>
    <mergeCell ref="J838:K838"/>
    <mergeCell ref="J831:K831"/>
    <mergeCell ref="C833:F833"/>
    <mergeCell ref="J833:K833"/>
    <mergeCell ref="C834:F834"/>
    <mergeCell ref="J834:K834"/>
    <mergeCell ref="C835:F835"/>
    <mergeCell ref="J835:K835"/>
    <mergeCell ref="J853:K853"/>
    <mergeCell ref="C850:F850"/>
    <mergeCell ref="J850:K850"/>
    <mergeCell ref="C851:F851"/>
    <mergeCell ref="J851:K851"/>
    <mergeCell ref="C852:F852"/>
    <mergeCell ref="J852:K852"/>
    <mergeCell ref="C847:F847"/>
    <mergeCell ref="J847:K847"/>
    <mergeCell ref="C848:F848"/>
    <mergeCell ref="J848:K848"/>
    <mergeCell ref="C849:F849"/>
    <mergeCell ref="J849:K849"/>
    <mergeCell ref="C842:F842"/>
    <mergeCell ref="J842:K842"/>
    <mergeCell ref="J843:K843"/>
    <mergeCell ref="C845:F845"/>
    <mergeCell ref="J845:K845"/>
    <mergeCell ref="C846:F846"/>
    <mergeCell ref="J846:K846"/>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showGridLines="0" workbookViewId="0">
      <selection activeCell="I9" sqref="I9"/>
    </sheetView>
  </sheetViews>
  <sheetFormatPr defaultRowHeight="15" customHeight="1" x14ac:dyDescent="0.25"/>
  <cols>
    <col min="1" max="1" width="14.7109375" style="1" customWidth="1"/>
    <col min="2" max="2" width="12.7109375" style="1" customWidth="1"/>
    <col min="3" max="3" width="4.7109375" style="1" customWidth="1"/>
    <col min="4" max="4" width="8.7109375" style="1" customWidth="1"/>
    <col min="5" max="5" width="25.7109375" style="1" customWidth="1"/>
    <col min="6" max="6" width="12.7109375" style="1" customWidth="1"/>
    <col min="7" max="7" width="8.7109375" style="1" customWidth="1"/>
    <col min="8" max="9" width="16.7109375" style="1" customWidth="1"/>
    <col min="10" max="11" width="8.7109375" style="1" customWidth="1"/>
    <col min="12" max="12" width="16.7109375" style="1" customWidth="1"/>
    <col min="13" max="13" width="27.5703125" style="1" customWidth="1"/>
    <col min="14" max="16384" width="9.140625" style="1"/>
  </cols>
  <sheetData>
    <row r="1" spans="1:13" ht="15" customHeight="1" x14ac:dyDescent="0.25">
      <c r="A1" s="52" t="str">
        <f>CIDADE</f>
        <v>MUNICÍPIO DE PICOS - PI</v>
      </c>
      <c r="B1" s="52"/>
      <c r="C1" s="52"/>
      <c r="D1" s="52"/>
      <c r="E1" s="52"/>
      <c r="F1" s="52"/>
      <c r="G1" s="52"/>
      <c r="H1" s="52"/>
      <c r="I1" s="52"/>
      <c r="J1" s="52"/>
      <c r="K1" s="52"/>
    </row>
    <row r="2" spans="1:13" ht="15" customHeight="1" x14ac:dyDescent="0.25">
      <c r="A2" s="52" t="str">
        <f>OBRA</f>
        <v>AMPLIAÇÃO ANTIGO PRÉDIO IAPEP PICOS</v>
      </c>
      <c r="B2" s="52"/>
      <c r="C2" s="52"/>
      <c r="D2" s="52"/>
      <c r="E2" s="52"/>
      <c r="F2" s="52"/>
      <c r="G2" s="52"/>
      <c r="H2" s="52"/>
      <c r="I2" s="52"/>
      <c r="J2" s="52"/>
      <c r="K2" s="52"/>
    </row>
    <row r="3" spans="1:13" ht="15" customHeight="1" x14ac:dyDescent="0.25">
      <c r="A3" s="52" t="s">
        <v>818</v>
      </c>
      <c r="B3" s="52"/>
      <c r="C3" s="52"/>
      <c r="D3" s="52"/>
      <c r="E3" s="52"/>
      <c r="F3" s="52"/>
      <c r="G3" s="52"/>
      <c r="H3" s="52"/>
      <c r="I3" s="52"/>
      <c r="J3" s="52"/>
      <c r="K3" s="52"/>
    </row>
    <row r="4" spans="1:13" ht="15" customHeight="1" x14ac:dyDescent="0.25">
      <c r="A4" s="3"/>
      <c r="B4" s="3"/>
      <c r="C4" s="3"/>
      <c r="D4" s="3"/>
      <c r="E4" s="3"/>
      <c r="F4" s="3"/>
      <c r="G4" s="3"/>
      <c r="H4" s="3"/>
      <c r="I4" s="3"/>
      <c r="J4" s="3"/>
      <c r="K4" s="3"/>
    </row>
    <row r="5" spans="1:13" ht="15" customHeight="1" x14ac:dyDescent="0.25">
      <c r="A5" s="2" t="s">
        <v>3</v>
      </c>
      <c r="B5" s="4" t="str">
        <f>FONTE&amp;ONERA</f>
        <v>SINAPI PI-06/2021, SEINFRA 27, ORSE-06/2021, SEM DESONERAÇÃO</v>
      </c>
      <c r="C5" s="2"/>
      <c r="D5" s="2"/>
      <c r="E5" s="2"/>
      <c r="G5" s="3"/>
      <c r="H5" s="2" t="s">
        <v>5</v>
      </c>
      <c r="I5" s="5">
        <f>LEI</f>
        <v>112.14999999999999</v>
      </c>
      <c r="J5" s="2" t="s">
        <v>6</v>
      </c>
      <c r="K5" s="5">
        <f>BDI</f>
        <v>20.8</v>
      </c>
    </row>
    <row r="6" spans="1:13" ht="15" customHeight="1" x14ac:dyDescent="0.25">
      <c r="A6" s="10" t="s">
        <v>295</v>
      </c>
      <c r="B6" s="10" t="s">
        <v>31</v>
      </c>
      <c r="C6" s="82" t="s">
        <v>7</v>
      </c>
      <c r="D6" s="83"/>
      <c r="E6" s="83"/>
      <c r="F6" s="83"/>
      <c r="G6" s="6" t="s">
        <v>32</v>
      </c>
      <c r="H6" s="6" t="s">
        <v>296</v>
      </c>
      <c r="I6" s="6" t="s">
        <v>297</v>
      </c>
      <c r="J6" s="57" t="s">
        <v>9</v>
      </c>
      <c r="K6" s="58"/>
    </row>
    <row r="7" spans="1:13" ht="30" customHeight="1" x14ac:dyDescent="0.25">
      <c r="A7" s="6" t="s">
        <v>502</v>
      </c>
      <c r="B7" s="28">
        <v>95378</v>
      </c>
      <c r="C7" s="91" t="str">
        <f>VLOOKUP(B7,S!$A:$D,2,FALSE)</f>
        <v>CURSO DE CAPACITAÇÃO PARA SERVENTE (ENCARGOS COMPLEMENTARES) - HORISTA</v>
      </c>
      <c r="D7" s="91"/>
      <c r="E7" s="91"/>
      <c r="F7" s="92"/>
      <c r="G7" s="6" t="str">
        <f>VLOOKUP(B7,S!$A:$D,3,FALSE)</f>
        <v>H</v>
      </c>
      <c r="H7" s="21"/>
      <c r="I7" s="21">
        <f>J9</f>
        <v>0.16</v>
      </c>
      <c r="J7" s="76"/>
      <c r="K7" s="72"/>
      <c r="L7" s="21">
        <f>VLOOKUP(B7,S!$A:$D,4,FALSE)</f>
        <v>0.16</v>
      </c>
      <c r="M7" s="6" t="str">
        <f>IF(ROUND((L7-I7),2)=0,"OK, confere com a tabela.",IF(ROUND((L7-I7),2)&lt;0,"ACIMA ("&amp;TEXT(ROUND(I7*100/L7,4),"0,0000")&amp;" %) da tabela.","ABAIXO ("&amp;TEXT(ROUND(I7*100/L7,4),"0,0000")&amp;" %) da tabela."))</f>
        <v>OK, confere com a tabela.</v>
      </c>
    </row>
    <row r="8" spans="1:13" ht="15" customHeight="1" x14ac:dyDescent="0.25">
      <c r="A8" s="16" t="s">
        <v>306</v>
      </c>
      <c r="B8" s="20">
        <v>6111</v>
      </c>
      <c r="C8" s="77" t="str">
        <f>VLOOKUP(B8,IF(A8="COMPOSICAO",S!$A:$D,I!$A:$D),2,FALSE)</f>
        <v>SERVENTE DE OBRAS</v>
      </c>
      <c r="D8" s="77"/>
      <c r="E8" s="77"/>
      <c r="F8" s="77"/>
      <c r="G8" s="16" t="str">
        <f>VLOOKUP(B8,IF(A8="COMPOSICAO",S!$A:$D,I!$A:$D),3,FALSE)</f>
        <v>H</v>
      </c>
      <c r="H8" s="29">
        <v>1.5100000000000001E-2</v>
      </c>
      <c r="I8" s="17">
        <f>IF(A8="COMPOSICAO",VLOOKUP("TOTAL - "&amp;B8,COMPOSICAO_AUX_4!$A:$J,10,FALSE),VLOOKUP(B8,I!$A:$D,4,FALSE))</f>
        <v>10.6</v>
      </c>
      <c r="J8" s="80">
        <f>TRUNC(H8*I8,2)</f>
        <v>0.16</v>
      </c>
      <c r="K8" s="81"/>
    </row>
    <row r="9" spans="1:13" ht="15" customHeight="1" x14ac:dyDescent="0.25">
      <c r="A9" s="23" t="s">
        <v>739</v>
      </c>
      <c r="B9" s="24"/>
      <c r="C9" s="24"/>
      <c r="D9" s="24"/>
      <c r="E9" s="24"/>
      <c r="F9" s="24"/>
      <c r="G9" s="25"/>
      <c r="H9" s="26"/>
      <c r="I9" s="27"/>
      <c r="J9" s="80">
        <f>SUM(J7:K8)</f>
        <v>0.16</v>
      </c>
      <c r="K9" s="81"/>
    </row>
    <row r="10" spans="1:13" ht="15" customHeight="1" x14ac:dyDescent="0.25">
      <c r="A10" s="3"/>
      <c r="B10" s="3"/>
      <c r="C10" s="3"/>
      <c r="D10" s="3"/>
      <c r="E10" s="3"/>
      <c r="F10" s="3"/>
      <c r="G10" s="3"/>
      <c r="H10" s="3"/>
      <c r="I10" s="3"/>
      <c r="J10" s="3"/>
      <c r="K10" s="3"/>
    </row>
    <row r="11" spans="1:13" ht="15" customHeight="1" x14ac:dyDescent="0.25">
      <c r="A11" s="10" t="s">
        <v>295</v>
      </c>
      <c r="B11" s="10" t="s">
        <v>31</v>
      </c>
      <c r="C11" s="82" t="s">
        <v>7</v>
      </c>
      <c r="D11" s="83"/>
      <c r="E11" s="83"/>
      <c r="F11" s="83"/>
      <c r="G11" s="6" t="s">
        <v>32</v>
      </c>
      <c r="H11" s="6" t="s">
        <v>296</v>
      </c>
      <c r="I11" s="6" t="s">
        <v>297</v>
      </c>
      <c r="J11" s="57" t="s">
        <v>9</v>
      </c>
      <c r="K11" s="58"/>
    </row>
    <row r="12" spans="1:13" ht="45" customHeight="1" x14ac:dyDescent="0.25">
      <c r="A12" s="6" t="s">
        <v>502</v>
      </c>
      <c r="B12" s="28">
        <v>95389</v>
      </c>
      <c r="C12" s="91" t="str">
        <f>VLOOKUP(B12,S!$A:$D,2,FALSE)</f>
        <v>CURSO DE CAPACITAÇÃO PARA OPERADOR DE BETONEIRA ESTACIONÁRIA/MISTURADOR (ENCARGOS COMPLEMENTARES) - HORISTA</v>
      </c>
      <c r="D12" s="91"/>
      <c r="E12" s="91"/>
      <c r="F12" s="92"/>
      <c r="G12" s="6" t="str">
        <f>VLOOKUP(B12,S!$A:$D,3,FALSE)</f>
        <v>H</v>
      </c>
      <c r="H12" s="21"/>
      <c r="I12" s="21">
        <f>J14</f>
        <v>0.09</v>
      </c>
      <c r="J12" s="76"/>
      <c r="K12" s="72"/>
      <c r="L12" s="21">
        <f>VLOOKUP(B12,S!$A:$D,4,FALSE)</f>
        <v>0.09</v>
      </c>
      <c r="M12" s="6" t="str">
        <f>IF(ROUND((L12-I12),2)=0,"OK, confere com a tabela.",IF(ROUND((L12-I12),2)&lt;0,"ACIMA ("&amp;TEXT(ROUND(I12*100/L12,4),"0,0000")&amp;" %) da tabela.","ABAIXO ("&amp;TEXT(ROUND(I12*100/L12,4),"0,0000")&amp;" %) da tabela."))</f>
        <v>OK, confere com a tabela.</v>
      </c>
    </row>
    <row r="13" spans="1:13" ht="30" customHeight="1" x14ac:dyDescent="0.25">
      <c r="A13" s="16" t="s">
        <v>306</v>
      </c>
      <c r="B13" s="20">
        <v>37666</v>
      </c>
      <c r="C13" s="77" t="str">
        <f>VLOOKUP(B13,IF(A13="COMPOSICAO",S!$A:$D,I!$A:$D),2,FALSE)</f>
        <v>OPERADOR DE BETONEIRA ESTACIONARIA / MISTURADOR</v>
      </c>
      <c r="D13" s="77"/>
      <c r="E13" s="77"/>
      <c r="F13" s="77"/>
      <c r="G13" s="16" t="str">
        <f>VLOOKUP(B13,IF(A13="COMPOSICAO",S!$A:$D,I!$A:$D),3,FALSE)</f>
        <v>H</v>
      </c>
      <c r="H13" s="29">
        <v>5.8999999999999999E-3</v>
      </c>
      <c r="I13" s="17">
        <f>IF(A13="COMPOSICAO",VLOOKUP("TOTAL - "&amp;B13,COMPOSICAO_AUX_4!$A:$J,10,FALSE),VLOOKUP(B13,I!$A:$D,4,FALSE))</f>
        <v>15.91</v>
      </c>
      <c r="J13" s="80">
        <f>TRUNC(H13*I13,2)</f>
        <v>0.09</v>
      </c>
      <c r="K13" s="81"/>
    </row>
    <row r="14" spans="1:13" ht="15" customHeight="1" x14ac:dyDescent="0.25">
      <c r="A14" s="23" t="s">
        <v>819</v>
      </c>
      <c r="B14" s="24"/>
      <c r="C14" s="24"/>
      <c r="D14" s="24"/>
      <c r="E14" s="24"/>
      <c r="F14" s="24"/>
      <c r="G14" s="25"/>
      <c r="H14" s="26"/>
      <c r="I14" s="27"/>
      <c r="J14" s="80">
        <f>SUM(J12:K13)</f>
        <v>0.09</v>
      </c>
      <c r="K14" s="81"/>
    </row>
    <row r="15" spans="1:13" ht="15" customHeight="1" x14ac:dyDescent="0.25">
      <c r="A15" s="3"/>
      <c r="B15" s="3"/>
      <c r="C15" s="3"/>
      <c r="D15" s="3"/>
      <c r="E15" s="3"/>
      <c r="F15" s="3"/>
      <c r="G15" s="3"/>
      <c r="H15" s="3"/>
      <c r="I15" s="3"/>
      <c r="J15" s="3"/>
      <c r="K15" s="3"/>
    </row>
    <row r="16" spans="1:13" ht="15" customHeight="1" x14ac:dyDescent="0.25">
      <c r="A16" s="10" t="s">
        <v>295</v>
      </c>
      <c r="B16" s="10" t="s">
        <v>31</v>
      </c>
      <c r="C16" s="82" t="s">
        <v>7</v>
      </c>
      <c r="D16" s="83"/>
      <c r="E16" s="83"/>
      <c r="F16" s="83"/>
      <c r="G16" s="6" t="s">
        <v>32</v>
      </c>
      <c r="H16" s="6" t="s">
        <v>296</v>
      </c>
      <c r="I16" s="6" t="s">
        <v>297</v>
      </c>
      <c r="J16" s="57" t="s">
        <v>9</v>
      </c>
      <c r="K16" s="58"/>
    </row>
    <row r="17" spans="1:13" ht="60" customHeight="1" x14ac:dyDescent="0.25">
      <c r="A17" s="6" t="s">
        <v>572</v>
      </c>
      <c r="B17" s="28">
        <v>88826</v>
      </c>
      <c r="C17" s="91" t="str">
        <f>VLOOKUP(B17,S!$A:$D,2,FALSE)</f>
        <v>BETONEIRA CAPACIDADE NOMINAL DE 400 L, CAPACIDADE DE MISTURA 280 L, MOTOR ELÉTRICO TRIFÁSICO POTÊNCIA DE 2 CV, SEM CARREGADOR - DEPRECIAÇÃO. AF_10/2014</v>
      </c>
      <c r="D17" s="91"/>
      <c r="E17" s="91"/>
      <c r="F17" s="92"/>
      <c r="G17" s="6" t="str">
        <f>VLOOKUP(B17,S!$A:$D,3,FALSE)</f>
        <v>H</v>
      </c>
      <c r="H17" s="21"/>
      <c r="I17" s="21">
        <f>J19</f>
        <v>0.37</v>
      </c>
      <c r="J17" s="76"/>
      <c r="K17" s="72"/>
      <c r="L17" s="21">
        <f>VLOOKUP(B17,S!$A:$D,4,FALSE)</f>
        <v>0.37</v>
      </c>
      <c r="M17" s="6" t="str">
        <f>IF(ROUND((L17-I17),2)=0,"OK, confere com a tabela.",IF(ROUND((L17-I17),2)&lt;0,"ACIMA ("&amp;TEXT(ROUND(I17*100/L17,4),"0,0000")&amp;" %) da tabela.","ABAIXO ("&amp;TEXT(ROUND(I17*100/L17,4),"0,0000")&amp;" %) da tabela."))</f>
        <v>OK, confere com a tabela.</v>
      </c>
    </row>
    <row r="18" spans="1:13" ht="45" customHeight="1" x14ac:dyDescent="0.25">
      <c r="A18" s="16" t="s">
        <v>306</v>
      </c>
      <c r="B18" s="20">
        <v>10535</v>
      </c>
      <c r="C18" s="77" t="str">
        <f>VLOOKUP(B18,IF(A18="COMPOSICAO",S!$A:$D,I!$A:$D),2,FALSE)</f>
        <v>BETONEIRA CAPACIDADE NOMINAL 400 L, CAPACIDADE DE MISTURA  280 L, MOTOR ELETRICO TRIFASICO 220/380 V POTENCIA 2 CV, SEM CARREGADOR</v>
      </c>
      <c r="D18" s="77"/>
      <c r="E18" s="77"/>
      <c r="F18" s="77"/>
      <c r="G18" s="16" t="str">
        <f>VLOOKUP(B18,IF(A18="COMPOSICAO",S!$A:$D,I!$A:$D),3,FALSE)</f>
        <v>UN</v>
      </c>
      <c r="H18" s="32">
        <v>6.3999999999999997E-5</v>
      </c>
      <c r="I18" s="17">
        <f>IF(A18="COMPOSICAO",VLOOKUP("TOTAL - "&amp;B18,COMPOSICAO_AUX_4!$A:$J,10,FALSE),VLOOKUP(B18,I!$A:$D,4,FALSE))</f>
        <v>5800</v>
      </c>
      <c r="J18" s="80">
        <f>TRUNC(H18*I18,2)</f>
        <v>0.37</v>
      </c>
      <c r="K18" s="81"/>
    </row>
    <row r="19" spans="1:13" ht="15" customHeight="1" x14ac:dyDescent="0.25">
      <c r="A19" s="23" t="s">
        <v>820</v>
      </c>
      <c r="B19" s="24"/>
      <c r="C19" s="24"/>
      <c r="D19" s="24"/>
      <c r="E19" s="24"/>
      <c r="F19" s="24"/>
      <c r="G19" s="25"/>
      <c r="H19" s="26"/>
      <c r="I19" s="27"/>
      <c r="J19" s="80">
        <f>SUM(J17:K18)</f>
        <v>0.37</v>
      </c>
      <c r="K19" s="81"/>
    </row>
    <row r="20" spans="1:13" ht="15" customHeight="1" x14ac:dyDescent="0.25">
      <c r="A20" s="3"/>
      <c r="B20" s="3"/>
      <c r="C20" s="3"/>
      <c r="D20" s="3"/>
      <c r="E20" s="3"/>
      <c r="F20" s="3"/>
      <c r="G20" s="3"/>
      <c r="H20" s="3"/>
      <c r="I20" s="3"/>
      <c r="J20" s="3"/>
      <c r="K20" s="3"/>
    </row>
    <row r="21" spans="1:13" ht="15" customHeight="1" x14ac:dyDescent="0.25">
      <c r="A21" s="10" t="s">
        <v>295</v>
      </c>
      <c r="B21" s="10" t="s">
        <v>31</v>
      </c>
      <c r="C21" s="82" t="s">
        <v>7</v>
      </c>
      <c r="D21" s="83"/>
      <c r="E21" s="83"/>
      <c r="F21" s="83"/>
      <c r="G21" s="6" t="s">
        <v>32</v>
      </c>
      <c r="H21" s="6" t="s">
        <v>296</v>
      </c>
      <c r="I21" s="6" t="s">
        <v>297</v>
      </c>
      <c r="J21" s="57" t="s">
        <v>9</v>
      </c>
      <c r="K21" s="58"/>
    </row>
    <row r="22" spans="1:13" ht="60" customHeight="1" x14ac:dyDescent="0.25">
      <c r="A22" s="6" t="s">
        <v>572</v>
      </c>
      <c r="B22" s="28">
        <v>88827</v>
      </c>
      <c r="C22" s="91" t="str">
        <f>VLOOKUP(B22,S!$A:$D,2,FALSE)</f>
        <v>BETONEIRA CAPACIDADE NOMINAL DE 400 L, CAPACIDADE DE MISTURA 280 L, MOTOR ELÉTRICO TRIFÁSICO POTÊNCIA DE 2 CV, SEM CARREGADOR - JUROS. AF_10/2014</v>
      </c>
      <c r="D22" s="91"/>
      <c r="E22" s="91"/>
      <c r="F22" s="92"/>
      <c r="G22" s="6" t="str">
        <f>VLOOKUP(B22,S!$A:$D,3,FALSE)</f>
        <v>H</v>
      </c>
      <c r="H22" s="21"/>
      <c r="I22" s="21">
        <f>J24</f>
        <v>0.04</v>
      </c>
      <c r="J22" s="76"/>
      <c r="K22" s="72"/>
      <c r="L22" s="21">
        <f>VLOOKUP(B22,S!$A:$D,4,FALSE)</f>
        <v>0.04</v>
      </c>
      <c r="M22" s="6" t="str">
        <f>IF(ROUND((L22-I22),2)=0,"OK, confere com a tabela.",IF(ROUND((L22-I22),2)&lt;0,"ACIMA ("&amp;TEXT(ROUND(I22*100/L22,4),"0,0000")&amp;" %) da tabela.","ABAIXO ("&amp;TEXT(ROUND(I22*100/L22,4),"0,0000")&amp;" %) da tabela."))</f>
        <v>OK, confere com a tabela.</v>
      </c>
    </row>
    <row r="23" spans="1:13" ht="45" customHeight="1" x14ac:dyDescent="0.25">
      <c r="A23" s="16" t="s">
        <v>306</v>
      </c>
      <c r="B23" s="20">
        <v>10535</v>
      </c>
      <c r="C23" s="77" t="str">
        <f>VLOOKUP(B23,IF(A23="COMPOSICAO",S!$A:$D,I!$A:$D),2,FALSE)</f>
        <v>BETONEIRA CAPACIDADE NOMINAL 400 L, CAPACIDADE DE MISTURA  280 L, MOTOR ELETRICO TRIFASICO 220/380 V POTENCIA 2 CV, SEM CARREGADOR</v>
      </c>
      <c r="D23" s="77"/>
      <c r="E23" s="77"/>
      <c r="F23" s="77"/>
      <c r="G23" s="16" t="str">
        <f>VLOOKUP(B23,IF(A23="COMPOSICAO",S!$A:$D,I!$A:$D),3,FALSE)</f>
        <v>UN</v>
      </c>
      <c r="H23" s="31">
        <v>7.6000000000000001E-6</v>
      </c>
      <c r="I23" s="17">
        <f>IF(A23="COMPOSICAO",VLOOKUP("TOTAL - "&amp;B23,COMPOSICAO_AUX_4!$A:$J,10,FALSE),VLOOKUP(B23,I!$A:$D,4,FALSE))</f>
        <v>5800</v>
      </c>
      <c r="J23" s="80">
        <f>TRUNC(H23*I23,2)</f>
        <v>0.04</v>
      </c>
      <c r="K23" s="81"/>
    </row>
    <row r="24" spans="1:13" ht="15" customHeight="1" x14ac:dyDescent="0.25">
      <c r="A24" s="23" t="s">
        <v>821</v>
      </c>
      <c r="B24" s="24"/>
      <c r="C24" s="24"/>
      <c r="D24" s="24"/>
      <c r="E24" s="24"/>
      <c r="F24" s="24"/>
      <c r="G24" s="25"/>
      <c r="H24" s="26"/>
      <c r="I24" s="27"/>
      <c r="J24" s="80">
        <f>SUM(J22:K23)</f>
        <v>0.04</v>
      </c>
      <c r="K24" s="81"/>
    </row>
    <row r="25" spans="1:13" ht="15" customHeight="1" x14ac:dyDescent="0.25">
      <c r="A25" s="3"/>
      <c r="B25" s="3"/>
      <c r="C25" s="3"/>
      <c r="D25" s="3"/>
      <c r="E25" s="3"/>
      <c r="F25" s="3"/>
      <c r="G25" s="3"/>
      <c r="H25" s="3"/>
      <c r="I25" s="3"/>
      <c r="J25" s="3"/>
      <c r="K25" s="3"/>
    </row>
    <row r="26" spans="1:13" ht="15" customHeight="1" x14ac:dyDescent="0.25">
      <c r="A26" s="10" t="s">
        <v>295</v>
      </c>
      <c r="B26" s="10" t="s">
        <v>31</v>
      </c>
      <c r="C26" s="82" t="s">
        <v>7</v>
      </c>
      <c r="D26" s="83"/>
      <c r="E26" s="83"/>
      <c r="F26" s="83"/>
      <c r="G26" s="6" t="s">
        <v>32</v>
      </c>
      <c r="H26" s="6" t="s">
        <v>296</v>
      </c>
      <c r="I26" s="6" t="s">
        <v>297</v>
      </c>
      <c r="J26" s="57" t="s">
        <v>9</v>
      </c>
      <c r="K26" s="58"/>
    </row>
    <row r="27" spans="1:13" ht="60" customHeight="1" x14ac:dyDescent="0.25">
      <c r="A27" s="6" t="s">
        <v>572</v>
      </c>
      <c r="B27" s="28">
        <v>88828</v>
      </c>
      <c r="C27" s="91" t="str">
        <f>VLOOKUP(B27,S!$A:$D,2,FALSE)</f>
        <v>BETONEIRA CAPACIDADE NOMINAL DE 400 L, CAPACIDADE DE MISTURA 280 L, MOTOR ELÉTRICO TRIFÁSICO POTÊNCIA DE 2 CV, SEM CARREGADOR - MANUTENÇÃO. AF_10/2014</v>
      </c>
      <c r="D27" s="91"/>
      <c r="E27" s="91"/>
      <c r="F27" s="92"/>
      <c r="G27" s="6" t="str">
        <f>VLOOKUP(B27,S!$A:$D,3,FALSE)</f>
        <v>H</v>
      </c>
      <c r="H27" s="21"/>
      <c r="I27" s="21">
        <f>J29</f>
        <v>0.34</v>
      </c>
      <c r="J27" s="76"/>
      <c r="K27" s="72"/>
      <c r="L27" s="21">
        <f>VLOOKUP(B27,S!$A:$D,4,FALSE)</f>
        <v>0.34</v>
      </c>
      <c r="M27" s="6" t="str">
        <f>IF(ROUND((L27-I27),2)=0,"OK, confere com a tabela.",IF(ROUND((L27-I27),2)&lt;0,"ACIMA ("&amp;TEXT(ROUND(I27*100/L27,4),"0,0000")&amp;" %) da tabela.","ABAIXO ("&amp;TEXT(ROUND(I27*100/L27,4),"0,0000")&amp;" %) da tabela."))</f>
        <v>OK, confere com a tabela.</v>
      </c>
    </row>
    <row r="28" spans="1:13" ht="45" customHeight="1" x14ac:dyDescent="0.25">
      <c r="A28" s="16" t="s">
        <v>306</v>
      </c>
      <c r="B28" s="20">
        <v>10535</v>
      </c>
      <c r="C28" s="77" t="str">
        <f>VLOOKUP(B28,IF(A28="COMPOSICAO",S!$A:$D,I!$A:$D),2,FALSE)</f>
        <v>BETONEIRA CAPACIDADE NOMINAL 400 L, CAPACIDADE DE MISTURA  280 L, MOTOR ELETRICO TRIFASICO 220/380 V POTENCIA 2 CV, SEM CARREGADOR</v>
      </c>
      <c r="D28" s="77"/>
      <c r="E28" s="77"/>
      <c r="F28" s="77"/>
      <c r="G28" s="16" t="str">
        <f>VLOOKUP(B28,IF(A28="COMPOSICAO",S!$A:$D,I!$A:$D),3,FALSE)</f>
        <v>UN</v>
      </c>
      <c r="H28" s="33">
        <v>6.0000000000000002E-5</v>
      </c>
      <c r="I28" s="17">
        <f>IF(A28="COMPOSICAO",VLOOKUP("TOTAL - "&amp;B28,COMPOSICAO_AUX_4!$A:$J,10,FALSE),VLOOKUP(B28,I!$A:$D,4,FALSE))</f>
        <v>5800</v>
      </c>
      <c r="J28" s="80">
        <f>TRUNC(H28*I28,2)</f>
        <v>0.34</v>
      </c>
      <c r="K28" s="81"/>
    </row>
    <row r="29" spans="1:13" ht="15" customHeight="1" x14ac:dyDescent="0.25">
      <c r="A29" s="23" t="s">
        <v>822</v>
      </c>
      <c r="B29" s="24"/>
      <c r="C29" s="24"/>
      <c r="D29" s="24"/>
      <c r="E29" s="24"/>
      <c r="F29" s="24"/>
      <c r="G29" s="25"/>
      <c r="H29" s="26"/>
      <c r="I29" s="27"/>
      <c r="J29" s="80">
        <f>SUM(J27:K28)</f>
        <v>0.34</v>
      </c>
      <c r="K29" s="81"/>
    </row>
    <row r="30" spans="1:13" ht="15" customHeight="1" x14ac:dyDescent="0.25">
      <c r="A30" s="3"/>
      <c r="B30" s="3"/>
      <c r="C30" s="3"/>
      <c r="D30" s="3"/>
      <c r="E30" s="3"/>
      <c r="F30" s="3"/>
      <c r="G30" s="3"/>
      <c r="H30" s="3"/>
      <c r="I30" s="3"/>
      <c r="J30" s="3"/>
      <c r="K30" s="3"/>
    </row>
    <row r="31" spans="1:13" ht="15" customHeight="1" x14ac:dyDescent="0.25">
      <c r="A31" s="10" t="s">
        <v>295</v>
      </c>
      <c r="B31" s="10" t="s">
        <v>31</v>
      </c>
      <c r="C31" s="82" t="s">
        <v>7</v>
      </c>
      <c r="D31" s="83"/>
      <c r="E31" s="83"/>
      <c r="F31" s="83"/>
      <c r="G31" s="6" t="s">
        <v>32</v>
      </c>
      <c r="H31" s="6" t="s">
        <v>296</v>
      </c>
      <c r="I31" s="6" t="s">
        <v>297</v>
      </c>
      <c r="J31" s="57" t="s">
        <v>9</v>
      </c>
      <c r="K31" s="58"/>
    </row>
    <row r="32" spans="1:13" ht="60" customHeight="1" x14ac:dyDescent="0.25">
      <c r="A32" s="6" t="s">
        <v>572</v>
      </c>
      <c r="B32" s="28">
        <v>88829</v>
      </c>
      <c r="C32" s="91" t="str">
        <f>VLOOKUP(B32,S!$A:$D,2,FALSE)</f>
        <v>BETONEIRA CAPACIDADE NOMINAL DE 400 L, CAPACIDADE DE MISTURA 280 L, MOTOR ELÉTRICO TRIFÁSICO POTÊNCIA DE 2 CV, SEM CARREGADOR - MATERIAIS NA OPERAÇÃO. AF_10/2014</v>
      </c>
      <c r="D32" s="91"/>
      <c r="E32" s="91"/>
      <c r="F32" s="92"/>
      <c r="G32" s="6" t="str">
        <f>VLOOKUP(B32,S!$A:$D,3,FALSE)</f>
        <v>H</v>
      </c>
      <c r="H32" s="21"/>
      <c r="I32" s="21">
        <f>J34</f>
        <v>0.95</v>
      </c>
      <c r="J32" s="76"/>
      <c r="K32" s="72"/>
      <c r="L32" s="21">
        <f>VLOOKUP(B32,S!$A:$D,4,FALSE)</f>
        <v>0.95</v>
      </c>
      <c r="M32" s="6" t="str">
        <f>IF(ROUND((L32-I32),2)=0,"OK, confere com a tabela.",IF(ROUND((L32-I32),2)&lt;0,"ACIMA ("&amp;TEXT(ROUND(I32*100/L32,4),"0,0000")&amp;" %) da tabela.","ABAIXO ("&amp;TEXT(ROUND(I32*100/L32,4),"0,0000")&amp;" %) da tabela."))</f>
        <v>OK, confere com a tabela.</v>
      </c>
    </row>
    <row r="33" spans="1:13" ht="30" customHeight="1" x14ac:dyDescent="0.25">
      <c r="A33" s="16" t="s">
        <v>306</v>
      </c>
      <c r="B33" s="20">
        <v>2705</v>
      </c>
      <c r="C33" s="77" t="str">
        <f>VLOOKUP(B33,IF(A33="COMPOSICAO",S!$A:$D,I!$A:$D),2,FALSE)</f>
        <v>ENERGIA ELETRICA ATE 2000 KWH INDUSTRIAL, SEM DEMANDA</v>
      </c>
      <c r="D33" s="77"/>
      <c r="E33" s="77"/>
      <c r="F33" s="77"/>
      <c r="G33" s="16" t="str">
        <f>VLOOKUP(B33,IF(A33="COMPOSICAO",S!$A:$D,I!$A:$D),3,FALSE)</f>
        <v>KW/H</v>
      </c>
      <c r="H33" s="17">
        <v>1.25</v>
      </c>
      <c r="I33" s="17">
        <f>IF(A33="COMPOSICAO",VLOOKUP("TOTAL - "&amp;B33,COMPOSICAO_AUX_4!$A:$J,10,FALSE),VLOOKUP(B33,I!$A:$D,4,FALSE))</f>
        <v>0.76</v>
      </c>
      <c r="J33" s="80">
        <f>TRUNC(H33*I33,2)</f>
        <v>0.95</v>
      </c>
      <c r="K33" s="81"/>
    </row>
    <row r="34" spans="1:13" ht="15" customHeight="1" x14ac:dyDescent="0.25">
      <c r="A34" s="23" t="s">
        <v>823</v>
      </c>
      <c r="B34" s="24"/>
      <c r="C34" s="24"/>
      <c r="D34" s="24"/>
      <c r="E34" s="24"/>
      <c r="F34" s="24"/>
      <c r="G34" s="25"/>
      <c r="H34" s="26"/>
      <c r="I34" s="27"/>
      <c r="J34" s="80">
        <f>SUM(J32:K33)</f>
        <v>0.95</v>
      </c>
      <c r="K34" s="81"/>
    </row>
    <row r="35" spans="1:13" ht="15" customHeight="1" x14ac:dyDescent="0.25">
      <c r="A35" s="3"/>
      <c r="B35" s="3"/>
      <c r="C35" s="3"/>
      <c r="D35" s="3"/>
      <c r="E35" s="3"/>
      <c r="F35" s="3"/>
      <c r="G35" s="3"/>
      <c r="H35" s="3"/>
      <c r="I35" s="3"/>
      <c r="J35" s="3"/>
      <c r="K35" s="3"/>
    </row>
    <row r="36" spans="1:13" ht="15" customHeight="1" x14ac:dyDescent="0.25">
      <c r="A36" s="10" t="s">
        <v>295</v>
      </c>
      <c r="B36" s="10" t="s">
        <v>31</v>
      </c>
      <c r="C36" s="82" t="s">
        <v>7</v>
      </c>
      <c r="D36" s="83"/>
      <c r="E36" s="83"/>
      <c r="F36" s="83"/>
      <c r="G36" s="6" t="s">
        <v>32</v>
      </c>
      <c r="H36" s="6" t="s">
        <v>296</v>
      </c>
      <c r="I36" s="6" t="s">
        <v>297</v>
      </c>
      <c r="J36" s="57" t="s">
        <v>9</v>
      </c>
      <c r="K36" s="58"/>
    </row>
    <row r="37" spans="1:13" ht="45" customHeight="1" x14ac:dyDescent="0.25">
      <c r="A37" s="6" t="s">
        <v>11</v>
      </c>
      <c r="B37" s="6" t="s">
        <v>740</v>
      </c>
      <c r="C37" s="91" t="str">
        <f>VLOOKUP(B37,S!$A:$D,2,FALSE)</f>
        <v>LANÇAMENTO DE CONCRETO USINADO, BOMBEADO, EM PEÇAS ARMADAS DA SUPERESTRUTURA, INCLUSIVE COLOCAÇÃO, ADENSAMENTO E ACABAMENTO</v>
      </c>
      <c r="D37" s="91"/>
      <c r="E37" s="91"/>
      <c r="F37" s="92"/>
      <c r="G37" s="6" t="str">
        <f>VLOOKUP(B37,S!$A:$D,3,FALSE)</f>
        <v>M3</v>
      </c>
      <c r="H37" s="21"/>
      <c r="I37" s="21">
        <f>J46</f>
        <v>37.820000000000007</v>
      </c>
      <c r="J37" s="76"/>
      <c r="K37" s="72"/>
      <c r="L37" s="21">
        <f>VLOOKUP(B37,S!$A:$D,4,FALSE)</f>
        <v>37.11</v>
      </c>
      <c r="M37" s="6" t="str">
        <f>IF(ROUND((L37-I37),2)=0,"OK, confere com a tabela.",IF(ROUND((L37-I37),2)&lt;0,"ACIMA ("&amp;TEXT(ROUND(I37*100/L37,4),"0,0000")&amp;" %) da tabela.","ABAIXO ("&amp;TEXT(ROUND(I37*100/L37,4),"0,0000")&amp;" %) da tabela."))</f>
        <v>ACIMA (101,9132 %) da tabela.</v>
      </c>
    </row>
    <row r="38" spans="1:13" ht="15" customHeight="1" x14ac:dyDescent="0.25">
      <c r="A38" s="16" t="s">
        <v>306</v>
      </c>
      <c r="B38" s="20">
        <v>378</v>
      </c>
      <c r="C38" s="77" t="str">
        <f>VLOOKUP(B38,IF(A38="COMPOSICAO",S!$A:$D,I!$A:$D),2,FALSE)</f>
        <v>ARMADOR</v>
      </c>
      <c r="D38" s="77"/>
      <c r="E38" s="77"/>
      <c r="F38" s="77"/>
      <c r="G38" s="16" t="str">
        <f>VLOOKUP(B38,IF(A38="COMPOSICAO",S!$A:$D,I!$A:$D),3,FALSE)</f>
        <v>H</v>
      </c>
      <c r="H38" s="17">
        <v>0.18</v>
      </c>
      <c r="I38" s="17">
        <f>IF(A38="COMPOSICAO",VLOOKUP("TOTAL - "&amp;B38,COMPOSICAO_AUX_4!$A:$J,10,FALSE),VLOOKUP(B38,I!$A:$D,4,FALSE))</f>
        <v>14.93</v>
      </c>
      <c r="J38" s="80">
        <f t="shared" ref="J38:J45" si="0">TRUNC(H38*I38,2)</f>
        <v>2.68</v>
      </c>
      <c r="K38" s="81"/>
    </row>
    <row r="39" spans="1:13" ht="15" customHeight="1" x14ac:dyDescent="0.25">
      <c r="A39" s="16" t="s">
        <v>306</v>
      </c>
      <c r="B39" s="20">
        <v>1213</v>
      </c>
      <c r="C39" s="77" t="str">
        <f>VLOOKUP(B39,IF(A39="COMPOSICAO",S!$A:$D,I!$A:$D),2,FALSE)</f>
        <v>CARPINTEIRO DE FORMAS</v>
      </c>
      <c r="D39" s="77"/>
      <c r="E39" s="77"/>
      <c r="F39" s="77"/>
      <c r="G39" s="16" t="str">
        <f>VLOOKUP(B39,IF(A39="COMPOSICAO",S!$A:$D,I!$A:$D),3,FALSE)</f>
        <v>H</v>
      </c>
      <c r="H39" s="17">
        <v>0.36</v>
      </c>
      <c r="I39" s="17">
        <f>IF(A39="COMPOSICAO",VLOOKUP("TOTAL - "&amp;B39,COMPOSICAO_AUX_4!$A:$J,10,FALSE),VLOOKUP(B39,I!$A:$D,4,FALSE))</f>
        <v>14.93</v>
      </c>
      <c r="J39" s="80">
        <f t="shared" si="0"/>
        <v>5.37</v>
      </c>
      <c r="K39" s="81"/>
    </row>
    <row r="40" spans="1:13" ht="15" customHeight="1" x14ac:dyDescent="0.25">
      <c r="A40" s="16" t="s">
        <v>306</v>
      </c>
      <c r="B40" s="20">
        <v>4750</v>
      </c>
      <c r="C40" s="77" t="str">
        <f>VLOOKUP(B40,IF(A40="COMPOSICAO",S!$A:$D,I!$A:$D),2,FALSE)</f>
        <v>PEDREIRO</v>
      </c>
      <c r="D40" s="77"/>
      <c r="E40" s="77"/>
      <c r="F40" s="77"/>
      <c r="G40" s="16" t="str">
        <f>VLOOKUP(B40,IF(A40="COMPOSICAO",S!$A:$D,I!$A:$D),3,FALSE)</f>
        <v>H</v>
      </c>
      <c r="H40" s="17">
        <v>0.36</v>
      </c>
      <c r="I40" s="17">
        <f>IF(A40="COMPOSICAO",VLOOKUP("TOTAL - "&amp;B40,COMPOSICAO_AUX_4!$A:$J,10,FALSE),VLOOKUP(B40,I!$A:$D,4,FALSE))</f>
        <v>14.93</v>
      </c>
      <c r="J40" s="80">
        <f t="shared" si="0"/>
        <v>5.37</v>
      </c>
      <c r="K40" s="81"/>
    </row>
    <row r="41" spans="1:13" ht="15" customHeight="1" x14ac:dyDescent="0.25">
      <c r="A41" s="16" t="s">
        <v>306</v>
      </c>
      <c r="B41" s="20">
        <v>6111</v>
      </c>
      <c r="C41" s="77" t="str">
        <f>VLOOKUP(B41,IF(A41="COMPOSICAO",S!$A:$D,I!$A:$D),2,FALSE)</f>
        <v>SERVENTE DE OBRAS</v>
      </c>
      <c r="D41" s="77"/>
      <c r="E41" s="77"/>
      <c r="F41" s="77"/>
      <c r="G41" s="16" t="str">
        <f>VLOOKUP(B41,IF(A41="COMPOSICAO",S!$A:$D,I!$A:$D),3,FALSE)</f>
        <v>H</v>
      </c>
      <c r="H41" s="17">
        <v>1.62</v>
      </c>
      <c r="I41" s="17">
        <f>IF(A41="COMPOSICAO",VLOOKUP("TOTAL - "&amp;B41,COMPOSICAO_AUX_4!$A:$J,10,FALSE),VLOOKUP(B41,I!$A:$D,4,FALSE))</f>
        <v>10.6</v>
      </c>
      <c r="J41" s="80">
        <f t="shared" si="0"/>
        <v>17.170000000000002</v>
      </c>
      <c r="K41" s="81"/>
    </row>
    <row r="42" spans="1:13" ht="15" customHeight="1" x14ac:dyDescent="0.25">
      <c r="A42" s="16" t="s">
        <v>302</v>
      </c>
      <c r="B42" s="16" t="s">
        <v>319</v>
      </c>
      <c r="C42" s="77" t="str">
        <f>VLOOKUP(B42,IF(A42="COMPOSICAO",S!$A:$D,I!$A:$D),2,FALSE)</f>
        <v>ENCARGOS COMPLEMENTARES - SERVENTE</v>
      </c>
      <c r="D42" s="77"/>
      <c r="E42" s="77"/>
      <c r="F42" s="77"/>
      <c r="G42" s="16" t="str">
        <f>VLOOKUP(B42,IF(A42="COMPOSICAO",S!$A:$D,I!$A:$D),3,FALSE)</f>
        <v>H</v>
      </c>
      <c r="H42" s="17">
        <v>1.62</v>
      </c>
      <c r="I42" s="17">
        <f>IF(A42="COMPOSICAO",VLOOKUP("TOTAL - "&amp;B42,COMPOSICAO_AUX_4!$A:$J,10,FALSE),VLOOKUP(B42,I!$A:$D,4,FALSE))</f>
        <v>2.9100000000000006</v>
      </c>
      <c r="J42" s="80">
        <f t="shared" si="0"/>
        <v>4.71</v>
      </c>
      <c r="K42" s="81"/>
    </row>
    <row r="43" spans="1:13" ht="15" customHeight="1" x14ac:dyDescent="0.25">
      <c r="A43" s="16" t="s">
        <v>302</v>
      </c>
      <c r="B43" s="16" t="s">
        <v>383</v>
      </c>
      <c r="C43" s="77" t="str">
        <f>VLOOKUP(B43,IF(A43="COMPOSICAO",S!$A:$D,I!$A:$D),2,FALSE)</f>
        <v>ENCARGOS COMPLEMENTARES - PEDREIRO</v>
      </c>
      <c r="D43" s="77"/>
      <c r="E43" s="77"/>
      <c r="F43" s="77"/>
      <c r="G43" s="16" t="str">
        <f>VLOOKUP(B43,IF(A43="COMPOSICAO",S!$A:$D,I!$A:$D),3,FALSE)</f>
        <v>H</v>
      </c>
      <c r="H43" s="17">
        <v>0.36</v>
      </c>
      <c r="I43" s="17">
        <f>IF(A43="COMPOSICAO",VLOOKUP("TOTAL - "&amp;B43,COMPOSICAO_AUX_4!$A:$J,10,FALSE),VLOOKUP(B43,I!$A:$D,4,FALSE))</f>
        <v>2.8000000000000003</v>
      </c>
      <c r="J43" s="80">
        <f t="shared" si="0"/>
        <v>1</v>
      </c>
      <c r="K43" s="81"/>
    </row>
    <row r="44" spans="1:13" ht="15" customHeight="1" x14ac:dyDescent="0.25">
      <c r="A44" s="16" t="s">
        <v>302</v>
      </c>
      <c r="B44" s="16" t="s">
        <v>666</v>
      </c>
      <c r="C44" s="77" t="str">
        <f>VLOOKUP(B44,IF(A44="COMPOSICAO",S!$A:$D,I!$A:$D),2,FALSE)</f>
        <v>ENCARGOS COMPLEMENTARES - CARPINTEIRO</v>
      </c>
      <c r="D44" s="77"/>
      <c r="E44" s="77"/>
      <c r="F44" s="77"/>
      <c r="G44" s="16" t="str">
        <f>VLOOKUP(B44,IF(A44="COMPOSICAO",S!$A:$D,I!$A:$D),3,FALSE)</f>
        <v>H</v>
      </c>
      <c r="H44" s="17">
        <v>0.36</v>
      </c>
      <c r="I44" s="17">
        <f>IF(A44="COMPOSICAO",VLOOKUP("TOTAL - "&amp;B44,COMPOSICAO_AUX_4!$A:$J,10,FALSE),VLOOKUP(B44,I!$A:$D,4,FALSE))</f>
        <v>2.8400000000000003</v>
      </c>
      <c r="J44" s="80">
        <f t="shared" si="0"/>
        <v>1.02</v>
      </c>
      <c r="K44" s="81"/>
    </row>
    <row r="45" spans="1:13" ht="15" customHeight="1" x14ac:dyDescent="0.25">
      <c r="A45" s="16" t="s">
        <v>302</v>
      </c>
      <c r="B45" s="16" t="s">
        <v>674</v>
      </c>
      <c r="C45" s="77" t="str">
        <f>VLOOKUP(B45,IF(A45="COMPOSICAO",S!$A:$D,I!$A:$D),2,FALSE)</f>
        <v>ENCARGOS COMPLEMENTARES - ARMADOR</v>
      </c>
      <c r="D45" s="77"/>
      <c r="E45" s="77"/>
      <c r="F45" s="77"/>
      <c r="G45" s="16" t="str">
        <f>VLOOKUP(B45,IF(A45="COMPOSICAO",S!$A:$D,I!$A:$D),3,FALSE)</f>
        <v>H</v>
      </c>
      <c r="H45" s="17">
        <v>0.18</v>
      </c>
      <c r="I45" s="17">
        <f>IF(A45="COMPOSICAO",VLOOKUP("TOTAL - "&amp;B45,COMPOSICAO_AUX_4!$A:$J,10,FALSE),VLOOKUP(B45,I!$A:$D,4,FALSE))</f>
        <v>2.7800000000000002</v>
      </c>
      <c r="J45" s="80">
        <f t="shared" si="0"/>
        <v>0.5</v>
      </c>
      <c r="K45" s="81"/>
    </row>
    <row r="46" spans="1:13" ht="15" customHeight="1" x14ac:dyDescent="0.25">
      <c r="A46" s="23" t="s">
        <v>824</v>
      </c>
      <c r="B46" s="24"/>
      <c r="C46" s="24"/>
      <c r="D46" s="24"/>
      <c r="E46" s="24"/>
      <c r="F46" s="24"/>
      <c r="G46" s="25"/>
      <c r="H46" s="26"/>
      <c r="I46" s="27"/>
      <c r="J46" s="80">
        <f>SUM(J37:K45)</f>
        <v>37.820000000000007</v>
      </c>
      <c r="K46" s="81"/>
    </row>
    <row r="47" spans="1:13" ht="15" customHeight="1" x14ac:dyDescent="0.25">
      <c r="A47" s="3"/>
      <c r="B47" s="3"/>
      <c r="C47" s="3"/>
      <c r="D47" s="3"/>
      <c r="E47" s="3"/>
      <c r="F47" s="3"/>
      <c r="G47" s="3"/>
      <c r="H47" s="3"/>
      <c r="I47" s="3"/>
      <c r="J47" s="3"/>
      <c r="K47" s="3"/>
    </row>
    <row r="48" spans="1:13" ht="15" customHeight="1" x14ac:dyDescent="0.25">
      <c r="A48" s="10" t="s">
        <v>295</v>
      </c>
      <c r="B48" s="10" t="s">
        <v>31</v>
      </c>
      <c r="C48" s="82" t="s">
        <v>7</v>
      </c>
      <c r="D48" s="83"/>
      <c r="E48" s="83"/>
      <c r="F48" s="83"/>
      <c r="G48" s="6" t="s">
        <v>32</v>
      </c>
      <c r="H48" s="6" t="s">
        <v>296</v>
      </c>
      <c r="I48" s="6" t="s">
        <v>297</v>
      </c>
      <c r="J48" s="57" t="s">
        <v>9</v>
      </c>
      <c r="K48" s="58"/>
    </row>
    <row r="49" spans="1:13" ht="15" customHeight="1" x14ac:dyDescent="0.25">
      <c r="A49" s="6" t="s">
        <v>11</v>
      </c>
      <c r="B49" s="6" t="s">
        <v>319</v>
      </c>
      <c r="C49" s="91" t="str">
        <f>VLOOKUP(B49,S!$A:$D,2,FALSE)</f>
        <v>ENCARGOS COMPLEMENTARES - SERVENTE</v>
      </c>
      <c r="D49" s="91"/>
      <c r="E49" s="91"/>
      <c r="F49" s="92"/>
      <c r="G49" s="6" t="str">
        <f>VLOOKUP(B49,S!$A:$D,3,FALSE)</f>
        <v>H</v>
      </c>
      <c r="H49" s="21"/>
      <c r="I49" s="21">
        <f>J68</f>
        <v>2.9100000000000006</v>
      </c>
      <c r="J49" s="76"/>
      <c r="K49" s="72"/>
      <c r="L49" s="21">
        <f>VLOOKUP(B49,S!$A:$D,4,FALSE)</f>
        <v>2.98</v>
      </c>
      <c r="M49" s="6" t="str">
        <f>IF(ROUND((L49-I49),2)=0,"OK, confere com a tabela.",IF(ROUND((L49-I49),2)&lt;0,"ACIMA ("&amp;TEXT(ROUND(I49*100/L49,4),"0,0000")&amp;" %) da tabela.","ABAIXO ("&amp;TEXT(ROUND(I49*100/L49,4),"0,0000")&amp;" %) da tabela."))</f>
        <v>ABAIXO (97,6510 %) da tabela.</v>
      </c>
    </row>
    <row r="50" spans="1:13" ht="15" customHeight="1" x14ac:dyDescent="0.25">
      <c r="A50" s="16" t="s">
        <v>306</v>
      </c>
      <c r="B50" s="16" t="s">
        <v>519</v>
      </c>
      <c r="C50" s="77" t="str">
        <f>VLOOKUP(B50,IF(A50="COMPOSICAO",S!$A:$D,I!$A:$D),2,FALSE)</f>
        <v>ALMOÇO (PARTICIPAÇÃO DO EMPREGADOR)</v>
      </c>
      <c r="D50" s="77"/>
      <c r="E50" s="77"/>
      <c r="F50" s="77"/>
      <c r="G50" s="16" t="str">
        <f>VLOOKUP(B50,IF(A50="COMPOSICAO",S!$A:$D,I!$A:$D),3,FALSE)</f>
        <v>UN</v>
      </c>
      <c r="H50" s="29">
        <v>0.1018</v>
      </c>
      <c r="I50" s="17">
        <f>IF(A50="COMPOSICAO",VLOOKUP("TOTAL - "&amp;B50,COMPOSICAO_AUX_4!$A:$J,10,FALSE),VLOOKUP(B50,I!$A:$D,4,FALSE))</f>
        <v>10</v>
      </c>
      <c r="J50" s="80">
        <f t="shared" ref="J50:J67" si="1">TRUNC(H50*I50,2)</f>
        <v>1.01</v>
      </c>
      <c r="K50" s="81"/>
    </row>
    <row r="51" spans="1:13" ht="15" customHeight="1" x14ac:dyDescent="0.25">
      <c r="A51" s="16" t="s">
        <v>306</v>
      </c>
      <c r="B51" s="16" t="s">
        <v>520</v>
      </c>
      <c r="C51" s="77" t="str">
        <f>VLOOKUP(B51,IF(A51="COMPOSICAO",S!$A:$D,I!$A:$D),2,FALSE)</f>
        <v>FARDAMENTO</v>
      </c>
      <c r="D51" s="77"/>
      <c r="E51" s="77"/>
      <c r="F51" s="77"/>
      <c r="G51" s="16" t="str">
        <f>VLOOKUP(B51,IF(A51="COMPOSICAO",S!$A:$D,I!$A:$D),3,FALSE)</f>
        <v>UN</v>
      </c>
      <c r="H51" s="29">
        <v>1.5E-3</v>
      </c>
      <c r="I51" s="17">
        <f>IF(A51="COMPOSICAO",VLOOKUP("TOTAL - "&amp;B51,COMPOSICAO_AUX_4!$A:$J,10,FALSE),VLOOKUP(B51,I!$A:$D,4,FALSE))</f>
        <v>78.53</v>
      </c>
      <c r="J51" s="80">
        <f t="shared" si="1"/>
        <v>0.11</v>
      </c>
      <c r="K51" s="81"/>
    </row>
    <row r="52" spans="1:13" ht="15" customHeight="1" x14ac:dyDescent="0.25">
      <c r="A52" s="16" t="s">
        <v>306</v>
      </c>
      <c r="B52" s="16" t="s">
        <v>521</v>
      </c>
      <c r="C52" s="77" t="str">
        <f>VLOOKUP(B52,IF(A52="COMPOSICAO",S!$A:$D,I!$A:$D),2,FALSE)</f>
        <v>ÓCULOS BRANCO PROTEÇÃO</v>
      </c>
      <c r="D52" s="77"/>
      <c r="E52" s="77"/>
      <c r="F52" s="77"/>
      <c r="G52" s="16" t="str">
        <f>VLOOKUP(B52,IF(A52="COMPOSICAO",S!$A:$D,I!$A:$D),3,FALSE)</f>
        <v>PR</v>
      </c>
      <c r="H52" s="29">
        <v>8.0000000000000004E-4</v>
      </c>
      <c r="I52" s="17">
        <f>IF(A52="COMPOSICAO",VLOOKUP("TOTAL - "&amp;B52,COMPOSICAO_AUX_4!$A:$J,10,FALSE),VLOOKUP(B52,I!$A:$D,4,FALSE))</f>
        <v>5.9</v>
      </c>
      <c r="J52" s="80">
        <f t="shared" si="1"/>
        <v>0</v>
      </c>
      <c r="K52" s="81"/>
    </row>
    <row r="53" spans="1:13" ht="15" customHeight="1" x14ac:dyDescent="0.25">
      <c r="A53" s="16" t="s">
        <v>306</v>
      </c>
      <c r="B53" s="16" t="s">
        <v>522</v>
      </c>
      <c r="C53" s="77" t="str">
        <f>VLOOKUP(B53,IF(A53="COMPOSICAO",S!$A:$D,I!$A:$D),2,FALSE)</f>
        <v>VALE TRANSPORTE</v>
      </c>
      <c r="D53" s="77"/>
      <c r="E53" s="77"/>
      <c r="F53" s="77"/>
      <c r="G53" s="16" t="str">
        <f>VLOOKUP(B53,IF(A53="COMPOSICAO",S!$A:$D,I!$A:$D),3,FALSE)</f>
        <v>UN</v>
      </c>
      <c r="H53" s="29">
        <v>9.4100000000000003E-2</v>
      </c>
      <c r="I53" s="17">
        <f>IF(A53="COMPOSICAO",VLOOKUP("TOTAL - "&amp;B53,COMPOSICAO_AUX_4!$A:$J,10,FALSE),VLOOKUP(B53,I!$A:$D,4,FALSE))</f>
        <v>4</v>
      </c>
      <c r="J53" s="80">
        <f t="shared" si="1"/>
        <v>0.37</v>
      </c>
      <c r="K53" s="81"/>
    </row>
    <row r="54" spans="1:13" ht="15" customHeight="1" x14ac:dyDescent="0.25">
      <c r="A54" s="16" t="s">
        <v>306</v>
      </c>
      <c r="B54" s="16" t="s">
        <v>523</v>
      </c>
      <c r="C54" s="77" t="str">
        <f>VLOOKUP(B54,IF(A54="COMPOSICAO",S!$A:$D,I!$A:$D),2,FALSE)</f>
        <v>TALHADEIRA CHATA 10"</v>
      </c>
      <c r="D54" s="77"/>
      <c r="E54" s="77"/>
      <c r="F54" s="77"/>
      <c r="G54" s="16" t="str">
        <f>VLOOKUP(B54,IF(A54="COMPOSICAO",S!$A:$D,I!$A:$D),3,FALSE)</f>
        <v>UN</v>
      </c>
      <c r="H54" s="29">
        <v>2.9999999999999997E-4</v>
      </c>
      <c r="I54" s="17">
        <f>IF(A54="COMPOSICAO",VLOOKUP("TOTAL - "&amp;B54,COMPOSICAO_AUX_4!$A:$J,10,FALSE),VLOOKUP(B54,I!$A:$D,4,FALSE))</f>
        <v>13.85</v>
      </c>
      <c r="J54" s="80">
        <f t="shared" si="1"/>
        <v>0</v>
      </c>
      <c r="K54" s="81"/>
    </row>
    <row r="55" spans="1:13" ht="15" customHeight="1" x14ac:dyDescent="0.25">
      <c r="A55" s="16" t="s">
        <v>306</v>
      </c>
      <c r="B55" s="16" t="s">
        <v>524</v>
      </c>
      <c r="C55" s="77" t="str">
        <f>VLOOKUP(B55,IF(A55="COMPOSICAO",S!$A:$D,I!$A:$D),2,FALSE)</f>
        <v>MARRETA 1 KG COM CABO</v>
      </c>
      <c r="D55" s="77"/>
      <c r="E55" s="77"/>
      <c r="F55" s="77"/>
      <c r="G55" s="16" t="str">
        <f>VLOOKUP(B55,IF(A55="COMPOSICAO",S!$A:$D,I!$A:$D),3,FALSE)</f>
        <v>UN</v>
      </c>
      <c r="H55" s="29">
        <v>1E-4</v>
      </c>
      <c r="I55" s="17">
        <f>IF(A55="COMPOSICAO",VLOOKUP("TOTAL - "&amp;B55,COMPOSICAO_AUX_4!$A:$J,10,FALSE),VLOOKUP(B55,I!$A:$D,4,FALSE))</f>
        <v>27.5</v>
      </c>
      <c r="J55" s="80">
        <f t="shared" si="1"/>
        <v>0</v>
      </c>
      <c r="K55" s="81"/>
    </row>
    <row r="56" spans="1:13" ht="15" customHeight="1" x14ac:dyDescent="0.25">
      <c r="A56" s="16" t="s">
        <v>306</v>
      </c>
      <c r="B56" s="16" t="s">
        <v>525</v>
      </c>
      <c r="C56" s="77" t="str">
        <f>VLOOKUP(B56,IF(A56="COMPOSICAO",S!$A:$D,I!$A:$D),2,FALSE)</f>
        <v>SEGURO DE VIDA E ACIDENTE EM GRUPO</v>
      </c>
      <c r="D56" s="77"/>
      <c r="E56" s="77"/>
      <c r="F56" s="77"/>
      <c r="G56" s="16" t="str">
        <f>VLOOKUP(B56,IF(A56="COMPOSICAO",S!$A:$D,I!$A:$D),3,FALSE)</f>
        <v>UN</v>
      </c>
      <c r="H56" s="29">
        <v>4.4999999999999997E-3</v>
      </c>
      <c r="I56" s="17">
        <f>IF(A56="COMPOSICAO",VLOOKUP("TOTAL - "&amp;B56,COMPOSICAO_AUX_4!$A:$J,10,FALSE),VLOOKUP(B56,I!$A:$D,4,FALSE))</f>
        <v>12.54</v>
      </c>
      <c r="J56" s="80">
        <f t="shared" si="1"/>
        <v>0.05</v>
      </c>
      <c r="K56" s="81"/>
    </row>
    <row r="57" spans="1:13" ht="15" customHeight="1" x14ac:dyDescent="0.25">
      <c r="A57" s="16" t="s">
        <v>306</v>
      </c>
      <c r="B57" s="16" t="s">
        <v>526</v>
      </c>
      <c r="C57" s="77" t="str">
        <f>VLOOKUP(B57,IF(A57="COMPOSICAO",S!$A:$D,I!$A:$D),2,FALSE)</f>
        <v>CESTA BÁSICA</v>
      </c>
      <c r="D57" s="77"/>
      <c r="E57" s="77"/>
      <c r="F57" s="77"/>
      <c r="G57" s="16" t="str">
        <f>VLOOKUP(B57,IF(A57="COMPOSICAO",S!$A:$D,I!$A:$D),3,FALSE)</f>
        <v>UN</v>
      </c>
      <c r="H57" s="29">
        <v>4.4999999999999997E-3</v>
      </c>
      <c r="I57" s="17">
        <f>IF(A57="COMPOSICAO",VLOOKUP("TOTAL - "&amp;B57,COMPOSICAO_AUX_4!$A:$J,10,FALSE),VLOOKUP(B57,I!$A:$D,4,FALSE))</f>
        <v>140</v>
      </c>
      <c r="J57" s="80">
        <f t="shared" si="1"/>
        <v>0.63</v>
      </c>
      <c r="K57" s="81"/>
    </row>
    <row r="58" spans="1:13" ht="15" customHeight="1" x14ac:dyDescent="0.25">
      <c r="A58" s="16" t="s">
        <v>306</v>
      </c>
      <c r="B58" s="16" t="s">
        <v>527</v>
      </c>
      <c r="C58" s="77" t="str">
        <f>VLOOKUP(B58,IF(A58="COMPOSICAO",S!$A:$D,I!$A:$D),2,FALSE)</f>
        <v>EXAMES ADMISSIONAIS/DEMISSIONAIS (CHECKUP)</v>
      </c>
      <c r="D58" s="77"/>
      <c r="E58" s="77"/>
      <c r="F58" s="77"/>
      <c r="G58" s="16" t="str">
        <f>VLOOKUP(B58,IF(A58="COMPOSICAO",S!$A:$D,I!$A:$D),3,FALSE)</f>
        <v>CJ</v>
      </c>
      <c r="H58" s="29">
        <v>4.0000000000000002E-4</v>
      </c>
      <c r="I58" s="17">
        <f>IF(A58="COMPOSICAO",VLOOKUP("TOTAL - "&amp;B58,COMPOSICAO_AUX_4!$A:$J,10,FALSE),VLOOKUP(B58,I!$A:$D,4,FALSE))</f>
        <v>300</v>
      </c>
      <c r="J58" s="80">
        <f t="shared" si="1"/>
        <v>0.12</v>
      </c>
      <c r="K58" s="81"/>
    </row>
    <row r="59" spans="1:13" ht="15" customHeight="1" x14ac:dyDescent="0.25">
      <c r="A59" s="16" t="s">
        <v>306</v>
      </c>
      <c r="B59" s="16" t="s">
        <v>528</v>
      </c>
      <c r="C59" s="77" t="str">
        <f>VLOOKUP(B59,IF(A59="COMPOSICAO",S!$A:$D,I!$A:$D),2,FALSE)</f>
        <v>PROTETOR AURICULAR</v>
      </c>
      <c r="D59" s="77"/>
      <c r="E59" s="77"/>
      <c r="F59" s="77"/>
      <c r="G59" s="16" t="str">
        <f>VLOOKUP(B59,IF(A59="COMPOSICAO",S!$A:$D,I!$A:$D),3,FALSE)</f>
        <v>UN</v>
      </c>
      <c r="H59" s="29">
        <v>4.4999999999999997E-3</v>
      </c>
      <c r="I59" s="17">
        <f>IF(A59="COMPOSICAO",VLOOKUP("TOTAL - "&amp;B59,COMPOSICAO_AUX_4!$A:$J,10,FALSE),VLOOKUP(B59,I!$A:$D,4,FALSE))</f>
        <v>4.9000000000000004</v>
      </c>
      <c r="J59" s="80">
        <f t="shared" si="1"/>
        <v>0.02</v>
      </c>
      <c r="K59" s="81"/>
    </row>
    <row r="60" spans="1:13" ht="15" customHeight="1" x14ac:dyDescent="0.25">
      <c r="A60" s="16" t="s">
        <v>306</v>
      </c>
      <c r="B60" s="16" t="s">
        <v>529</v>
      </c>
      <c r="C60" s="77" t="str">
        <f>VLOOKUP(B60,IF(A60="COMPOSICAO",S!$A:$D,I!$A:$D),2,FALSE)</f>
        <v>PROTETOR SOLAR FPS 30 COM 120ML</v>
      </c>
      <c r="D60" s="77"/>
      <c r="E60" s="77"/>
      <c r="F60" s="77"/>
      <c r="G60" s="16" t="str">
        <f>VLOOKUP(B60,IF(A60="COMPOSICAO",S!$A:$D,I!$A:$D),3,FALSE)</f>
        <v>UN</v>
      </c>
      <c r="H60" s="29">
        <v>1.8E-3</v>
      </c>
      <c r="I60" s="17">
        <f>IF(A60="COMPOSICAO",VLOOKUP("TOTAL - "&amp;B60,COMPOSICAO_AUX_4!$A:$J,10,FALSE),VLOOKUP(B60,I!$A:$D,4,FALSE))</f>
        <v>35.9</v>
      </c>
      <c r="J60" s="80">
        <f t="shared" si="1"/>
        <v>0.06</v>
      </c>
      <c r="K60" s="81"/>
    </row>
    <row r="61" spans="1:13" ht="30" customHeight="1" x14ac:dyDescent="0.25">
      <c r="A61" s="16" t="s">
        <v>306</v>
      </c>
      <c r="B61" s="16" t="s">
        <v>530</v>
      </c>
      <c r="C61" s="77" t="str">
        <f>VLOOKUP(B61,IF(A61="COMPOSICAO",S!$A:$D,I!$A:$D),2,FALSE)</f>
        <v>REFEIÇÃO - CAFÉ DA MANHÃ ( CAFÉ COM LEITE E DOIS PÃES COM MANTEIGA)</v>
      </c>
      <c r="D61" s="77"/>
      <c r="E61" s="77"/>
      <c r="F61" s="77"/>
      <c r="G61" s="16" t="str">
        <f>VLOOKUP(B61,IF(A61="COMPOSICAO",S!$A:$D,I!$A:$D),3,FALSE)</f>
        <v>UN</v>
      </c>
      <c r="H61" s="29">
        <v>0.1018</v>
      </c>
      <c r="I61" s="17">
        <f>IF(A61="COMPOSICAO",VLOOKUP("TOTAL - "&amp;B61,COMPOSICAO_AUX_4!$A:$J,10,FALSE),VLOOKUP(B61,I!$A:$D,4,FALSE))</f>
        <v>4.5</v>
      </c>
      <c r="J61" s="80">
        <f t="shared" si="1"/>
        <v>0.45</v>
      </c>
      <c r="K61" s="81"/>
    </row>
    <row r="62" spans="1:13" ht="15" customHeight="1" x14ac:dyDescent="0.25">
      <c r="A62" s="16" t="s">
        <v>306</v>
      </c>
      <c r="B62" s="16" t="s">
        <v>531</v>
      </c>
      <c r="C62" s="77" t="str">
        <f>VLOOKUP(B62,IF(A62="COMPOSICAO",S!$A:$D,I!$A:$D),2,FALSE)</f>
        <v>PÁ QUADRADA</v>
      </c>
      <c r="D62" s="77"/>
      <c r="E62" s="77"/>
      <c r="F62" s="77"/>
      <c r="G62" s="16" t="str">
        <f>VLOOKUP(B62,IF(A62="COMPOSICAO",S!$A:$D,I!$A:$D),3,FALSE)</f>
        <v>UN</v>
      </c>
      <c r="H62" s="29">
        <v>2.0000000000000001E-4</v>
      </c>
      <c r="I62" s="17">
        <f>IF(A62="COMPOSICAO",VLOOKUP("TOTAL - "&amp;B62,COMPOSICAO_AUX_4!$A:$J,10,FALSE),VLOOKUP(B62,I!$A:$D,4,FALSE))</f>
        <v>17.29</v>
      </c>
      <c r="J62" s="80">
        <f t="shared" si="1"/>
        <v>0</v>
      </c>
      <c r="K62" s="81"/>
    </row>
    <row r="63" spans="1:13" ht="30" customHeight="1" x14ac:dyDescent="0.25">
      <c r="A63" s="16" t="s">
        <v>306</v>
      </c>
      <c r="B63" s="20">
        <v>2711</v>
      </c>
      <c r="C63" s="77" t="str">
        <f>VLOOKUP(B63,IF(A63="COMPOSICAO",S!$A:$D,I!$A:$D),2,FALSE)</f>
        <v>CARRINHO DE MAO DE ACO CAPACIDADE 50 A 60 L, PNEU COM CAMARA</v>
      </c>
      <c r="D63" s="77"/>
      <c r="E63" s="77"/>
      <c r="F63" s="77"/>
      <c r="G63" s="16" t="str">
        <f>VLOOKUP(B63,IF(A63="COMPOSICAO",S!$A:$D,I!$A:$D),3,FALSE)</f>
        <v>UN</v>
      </c>
      <c r="H63" s="29">
        <v>2.0000000000000001E-4</v>
      </c>
      <c r="I63" s="17">
        <f>IF(A63="COMPOSICAO",VLOOKUP("TOTAL - "&amp;B63,COMPOSICAO_AUX_4!$A:$J,10,FALSE),VLOOKUP(B63,I!$A:$D,4,FALSE))</f>
        <v>127.67</v>
      </c>
      <c r="J63" s="80">
        <f t="shared" si="1"/>
        <v>0.02</v>
      </c>
      <c r="K63" s="81"/>
    </row>
    <row r="64" spans="1:13" ht="30" customHeight="1" x14ac:dyDescent="0.25">
      <c r="A64" s="16" t="s">
        <v>306</v>
      </c>
      <c r="B64" s="20">
        <v>12892</v>
      </c>
      <c r="C64" s="77" t="str">
        <f>VLOOKUP(B64,IF(A64="COMPOSICAO",S!$A:$D,I!$A:$D),2,FALSE)</f>
        <v>LUVA RASPA DE COURO, CANO CURTO (PUNHO *7* CM)</v>
      </c>
      <c r="D64" s="77"/>
      <c r="E64" s="77"/>
      <c r="F64" s="77"/>
      <c r="G64" s="16" t="str">
        <f>VLOOKUP(B64,IF(A64="COMPOSICAO",S!$A:$D,I!$A:$D),3,FALSE)</f>
        <v>PAR</v>
      </c>
      <c r="H64" s="29">
        <v>2.3E-3</v>
      </c>
      <c r="I64" s="17">
        <f>IF(A64="COMPOSICAO",VLOOKUP("TOTAL - "&amp;B64,COMPOSICAO_AUX_4!$A:$J,10,FALSE),VLOOKUP(B64,I!$A:$D,4,FALSE))</f>
        <v>12.91</v>
      </c>
      <c r="J64" s="80">
        <f t="shared" si="1"/>
        <v>0.02</v>
      </c>
      <c r="K64" s="81"/>
    </row>
    <row r="65" spans="1:13" ht="30" customHeight="1" x14ac:dyDescent="0.25">
      <c r="A65" s="16" t="s">
        <v>306</v>
      </c>
      <c r="B65" s="20">
        <v>12893</v>
      </c>
      <c r="C65" s="77" t="str">
        <f>VLOOKUP(B65,IF(A65="COMPOSICAO",S!$A:$D,I!$A:$D),2,FALSE)</f>
        <v>BOTA DE SEGURANCA COM BIQUEIRA DE ACO E COLARINHO ACOLCHOADO</v>
      </c>
      <c r="D65" s="77"/>
      <c r="E65" s="77"/>
      <c r="F65" s="77"/>
      <c r="G65" s="16" t="str">
        <f>VLOOKUP(B65,IF(A65="COMPOSICAO",S!$A:$D,I!$A:$D),3,FALSE)</f>
        <v>PAR</v>
      </c>
      <c r="H65" s="29">
        <v>8.0000000000000004E-4</v>
      </c>
      <c r="I65" s="17">
        <f>IF(A65="COMPOSICAO",VLOOKUP("TOTAL - "&amp;B65,COMPOSICAO_AUX_4!$A:$J,10,FALSE),VLOOKUP(B65,I!$A:$D,4,FALSE))</f>
        <v>68.88</v>
      </c>
      <c r="J65" s="80">
        <f t="shared" si="1"/>
        <v>0.05</v>
      </c>
      <c r="K65" s="81"/>
    </row>
    <row r="66" spans="1:13" ht="30" customHeight="1" x14ac:dyDescent="0.25">
      <c r="A66" s="16" t="s">
        <v>306</v>
      </c>
      <c r="B66" s="20">
        <v>12894</v>
      </c>
      <c r="C66" s="77" t="str">
        <f>VLOOKUP(B66,IF(A66="COMPOSICAO",S!$A:$D,I!$A:$D),2,FALSE)</f>
        <v>CAPA PARA CHUVA EM PVC COM FORRO DE POLIESTER, COM CAPUZ (AMARELA OU AZUL)</v>
      </c>
      <c r="D66" s="77"/>
      <c r="E66" s="77"/>
      <c r="F66" s="77"/>
      <c r="G66" s="16" t="str">
        <f>VLOOKUP(B66,IF(A66="COMPOSICAO",S!$A:$D,I!$A:$D),3,FALSE)</f>
        <v>UN</v>
      </c>
      <c r="H66" s="29">
        <v>2.0000000000000001E-4</v>
      </c>
      <c r="I66" s="17">
        <f>IF(A66="COMPOSICAO",VLOOKUP("TOTAL - "&amp;B66,COMPOSICAO_AUX_4!$A:$J,10,FALSE),VLOOKUP(B66,I!$A:$D,4,FALSE))</f>
        <v>18.649999999999999</v>
      </c>
      <c r="J66" s="80">
        <f t="shared" si="1"/>
        <v>0</v>
      </c>
      <c r="K66" s="81"/>
    </row>
    <row r="67" spans="1:13" ht="30" customHeight="1" x14ac:dyDescent="0.25">
      <c r="A67" s="16" t="s">
        <v>306</v>
      </c>
      <c r="B67" s="20">
        <v>12895</v>
      </c>
      <c r="C67" s="77" t="str">
        <f>VLOOKUP(B67,IF(A67="COMPOSICAO",S!$A:$D,I!$A:$D),2,FALSE)</f>
        <v>CAPACETE DE SEGURANCA ABA FRONTAL COM SUSPENSAO DE POLIETILENO, SEM JUGULAR (CLASSE B)</v>
      </c>
      <c r="D67" s="77"/>
      <c r="E67" s="77"/>
      <c r="F67" s="77"/>
      <c r="G67" s="16" t="str">
        <f>VLOOKUP(B67,IF(A67="COMPOSICAO",S!$A:$D,I!$A:$D),3,FALSE)</f>
        <v>UN</v>
      </c>
      <c r="H67" s="29">
        <v>5.9999999999999995E-4</v>
      </c>
      <c r="I67" s="17">
        <f>IF(A67="COMPOSICAO",VLOOKUP("TOTAL - "&amp;B67,COMPOSICAO_AUX_4!$A:$J,10,FALSE),VLOOKUP(B67,I!$A:$D,4,FALSE))</f>
        <v>14.35</v>
      </c>
      <c r="J67" s="80">
        <f t="shared" si="1"/>
        <v>0</v>
      </c>
      <c r="K67" s="81"/>
    </row>
    <row r="68" spans="1:13" ht="15" customHeight="1" x14ac:dyDescent="0.25">
      <c r="A68" s="23" t="s">
        <v>532</v>
      </c>
      <c r="B68" s="24"/>
      <c r="C68" s="24"/>
      <c r="D68" s="24"/>
      <c r="E68" s="24"/>
      <c r="F68" s="24"/>
      <c r="G68" s="25"/>
      <c r="H68" s="26"/>
      <c r="I68" s="27"/>
      <c r="J68" s="80">
        <f>SUM(J49:K67)</f>
        <v>2.9100000000000006</v>
      </c>
      <c r="K68" s="81"/>
    </row>
    <row r="69" spans="1:13" ht="15" customHeight="1" x14ac:dyDescent="0.25">
      <c r="A69" s="3"/>
      <c r="B69" s="3"/>
      <c r="C69" s="3"/>
      <c r="D69" s="3"/>
      <c r="E69" s="3"/>
      <c r="F69" s="3"/>
      <c r="G69" s="3"/>
      <c r="H69" s="3"/>
      <c r="I69" s="3"/>
      <c r="J69" s="3"/>
      <c r="K69" s="3"/>
    </row>
    <row r="70" spans="1:13" ht="15" customHeight="1" x14ac:dyDescent="0.25">
      <c r="A70" s="10" t="s">
        <v>295</v>
      </c>
      <c r="B70" s="10" t="s">
        <v>31</v>
      </c>
      <c r="C70" s="82" t="s">
        <v>7</v>
      </c>
      <c r="D70" s="83"/>
      <c r="E70" s="83"/>
      <c r="F70" s="83"/>
      <c r="G70" s="6" t="s">
        <v>32</v>
      </c>
      <c r="H70" s="6" t="s">
        <v>296</v>
      </c>
      <c r="I70" s="6" t="s">
        <v>297</v>
      </c>
      <c r="J70" s="57" t="s">
        <v>9</v>
      </c>
      <c r="K70" s="58"/>
    </row>
    <row r="71" spans="1:13" ht="15" customHeight="1" x14ac:dyDescent="0.25">
      <c r="A71" s="6" t="s">
        <v>11</v>
      </c>
      <c r="B71" s="6" t="s">
        <v>674</v>
      </c>
      <c r="C71" s="91" t="str">
        <f>VLOOKUP(B71,S!$A:$D,2,FALSE)</f>
        <v>ENCARGOS COMPLEMENTARES - ARMADOR</v>
      </c>
      <c r="D71" s="91"/>
      <c r="E71" s="91"/>
      <c r="F71" s="92"/>
      <c r="G71" s="6" t="str">
        <f>VLOOKUP(B71,S!$A:$D,3,FALSE)</f>
        <v>H</v>
      </c>
      <c r="H71" s="21"/>
      <c r="I71" s="21">
        <f>J88</f>
        <v>2.7800000000000002</v>
      </c>
      <c r="J71" s="76"/>
      <c r="K71" s="72"/>
      <c r="L71" s="21">
        <f>VLOOKUP(B71,S!$A:$D,4,FALSE)</f>
        <v>2.82</v>
      </c>
      <c r="M71" s="6" t="str">
        <f>IF(ROUND((L71-I71),2)=0,"OK, confere com a tabela.",IF(ROUND((L71-I71),2)&lt;0,"ACIMA ("&amp;TEXT(ROUND(I71*100/L71,4),"0,0000")&amp;" %) da tabela.","ABAIXO ("&amp;TEXT(ROUND(I71*100/L71,4),"0,0000")&amp;" %) da tabela."))</f>
        <v>ABAIXO (98,5816 %) da tabela.</v>
      </c>
    </row>
    <row r="72" spans="1:13" ht="15" customHeight="1" x14ac:dyDescent="0.25">
      <c r="A72" s="16" t="s">
        <v>306</v>
      </c>
      <c r="B72" s="16" t="s">
        <v>519</v>
      </c>
      <c r="C72" s="77" t="str">
        <f>VLOOKUP(B72,IF(A72="COMPOSICAO",S!$A:$D,I!$A:$D),2,FALSE)</f>
        <v>ALMOÇO (PARTICIPAÇÃO DO EMPREGADOR)</v>
      </c>
      <c r="D72" s="77"/>
      <c r="E72" s="77"/>
      <c r="F72" s="77"/>
      <c r="G72" s="16" t="str">
        <f>VLOOKUP(B72,IF(A72="COMPOSICAO",S!$A:$D,I!$A:$D),3,FALSE)</f>
        <v>UN</v>
      </c>
      <c r="H72" s="29">
        <v>0.1018</v>
      </c>
      <c r="I72" s="17">
        <f>IF(A72="COMPOSICAO",VLOOKUP("TOTAL - "&amp;B72,COMPOSICAO_AUX_4!$A:$J,10,FALSE),VLOOKUP(B72,I!$A:$D,4,FALSE))</f>
        <v>10</v>
      </c>
      <c r="J72" s="80">
        <f t="shared" ref="J72:J87" si="2">TRUNC(H72*I72,2)</f>
        <v>1.01</v>
      </c>
      <c r="K72" s="81"/>
    </row>
    <row r="73" spans="1:13" ht="15" customHeight="1" x14ac:dyDescent="0.25">
      <c r="A73" s="16" t="s">
        <v>306</v>
      </c>
      <c r="B73" s="16" t="s">
        <v>520</v>
      </c>
      <c r="C73" s="77" t="str">
        <f>VLOOKUP(B73,IF(A73="COMPOSICAO",S!$A:$D,I!$A:$D),2,FALSE)</f>
        <v>FARDAMENTO</v>
      </c>
      <c r="D73" s="77"/>
      <c r="E73" s="77"/>
      <c r="F73" s="77"/>
      <c r="G73" s="16" t="str">
        <f>VLOOKUP(B73,IF(A73="COMPOSICAO",S!$A:$D,I!$A:$D),3,FALSE)</f>
        <v>UN</v>
      </c>
      <c r="H73" s="29">
        <v>1.5E-3</v>
      </c>
      <c r="I73" s="17">
        <f>IF(A73="COMPOSICAO",VLOOKUP("TOTAL - "&amp;B73,COMPOSICAO_AUX_4!$A:$J,10,FALSE),VLOOKUP(B73,I!$A:$D,4,FALSE))</f>
        <v>78.53</v>
      </c>
      <c r="J73" s="80">
        <f t="shared" si="2"/>
        <v>0.11</v>
      </c>
      <c r="K73" s="81"/>
    </row>
    <row r="74" spans="1:13" ht="15" customHeight="1" x14ac:dyDescent="0.25">
      <c r="A74" s="16" t="s">
        <v>306</v>
      </c>
      <c r="B74" s="16" t="s">
        <v>521</v>
      </c>
      <c r="C74" s="77" t="str">
        <f>VLOOKUP(B74,IF(A74="COMPOSICAO",S!$A:$D,I!$A:$D),2,FALSE)</f>
        <v>ÓCULOS BRANCO PROTEÇÃO</v>
      </c>
      <c r="D74" s="77"/>
      <c r="E74" s="77"/>
      <c r="F74" s="77"/>
      <c r="G74" s="16" t="str">
        <f>VLOOKUP(B74,IF(A74="COMPOSICAO",S!$A:$D,I!$A:$D),3,FALSE)</f>
        <v>PR</v>
      </c>
      <c r="H74" s="29">
        <v>8.0000000000000004E-4</v>
      </c>
      <c r="I74" s="17">
        <f>IF(A74="COMPOSICAO",VLOOKUP("TOTAL - "&amp;B74,COMPOSICAO_AUX_4!$A:$J,10,FALSE),VLOOKUP(B74,I!$A:$D,4,FALSE))</f>
        <v>5.9</v>
      </c>
      <c r="J74" s="80">
        <f t="shared" si="2"/>
        <v>0</v>
      </c>
      <c r="K74" s="81"/>
    </row>
    <row r="75" spans="1:13" ht="15" customHeight="1" x14ac:dyDescent="0.25">
      <c r="A75" s="16" t="s">
        <v>306</v>
      </c>
      <c r="B75" s="16" t="s">
        <v>522</v>
      </c>
      <c r="C75" s="77" t="str">
        <f>VLOOKUP(B75,IF(A75="COMPOSICAO",S!$A:$D,I!$A:$D),2,FALSE)</f>
        <v>VALE TRANSPORTE</v>
      </c>
      <c r="D75" s="77"/>
      <c r="E75" s="77"/>
      <c r="F75" s="77"/>
      <c r="G75" s="16" t="str">
        <f>VLOOKUP(B75,IF(A75="COMPOSICAO",S!$A:$D,I!$A:$D),3,FALSE)</f>
        <v>UN</v>
      </c>
      <c r="H75" s="29">
        <v>6.54E-2</v>
      </c>
      <c r="I75" s="17">
        <f>IF(A75="COMPOSICAO",VLOOKUP("TOTAL - "&amp;B75,COMPOSICAO_AUX_4!$A:$J,10,FALSE),VLOOKUP(B75,I!$A:$D,4,FALSE))</f>
        <v>4</v>
      </c>
      <c r="J75" s="80">
        <f t="shared" si="2"/>
        <v>0.26</v>
      </c>
      <c r="K75" s="81"/>
    </row>
    <row r="76" spans="1:13" ht="15" customHeight="1" x14ac:dyDescent="0.25">
      <c r="A76" s="16" t="s">
        <v>306</v>
      </c>
      <c r="B76" s="16" t="s">
        <v>525</v>
      </c>
      <c r="C76" s="77" t="str">
        <f>VLOOKUP(B76,IF(A76="COMPOSICAO",S!$A:$D,I!$A:$D),2,FALSE)</f>
        <v>SEGURO DE VIDA E ACIDENTE EM GRUPO</v>
      </c>
      <c r="D76" s="77"/>
      <c r="E76" s="77"/>
      <c r="F76" s="77"/>
      <c r="G76" s="16" t="str">
        <f>VLOOKUP(B76,IF(A76="COMPOSICAO",S!$A:$D,I!$A:$D),3,FALSE)</f>
        <v>UN</v>
      </c>
      <c r="H76" s="29">
        <v>4.4999999999999997E-3</v>
      </c>
      <c r="I76" s="17">
        <f>IF(A76="COMPOSICAO",VLOOKUP("TOTAL - "&amp;B76,COMPOSICAO_AUX_4!$A:$J,10,FALSE),VLOOKUP(B76,I!$A:$D,4,FALSE))</f>
        <v>12.54</v>
      </c>
      <c r="J76" s="80">
        <f t="shared" si="2"/>
        <v>0.05</v>
      </c>
      <c r="K76" s="81"/>
    </row>
    <row r="77" spans="1:13" ht="15" customHeight="1" x14ac:dyDescent="0.25">
      <c r="A77" s="16" t="s">
        <v>306</v>
      </c>
      <c r="B77" s="16" t="s">
        <v>526</v>
      </c>
      <c r="C77" s="77" t="str">
        <f>VLOOKUP(B77,IF(A77="COMPOSICAO",S!$A:$D,I!$A:$D),2,FALSE)</f>
        <v>CESTA BÁSICA</v>
      </c>
      <c r="D77" s="77"/>
      <c r="E77" s="77"/>
      <c r="F77" s="77"/>
      <c r="G77" s="16" t="str">
        <f>VLOOKUP(B77,IF(A77="COMPOSICAO",S!$A:$D,I!$A:$D),3,FALSE)</f>
        <v>UN</v>
      </c>
      <c r="H77" s="29">
        <v>4.4999999999999997E-3</v>
      </c>
      <c r="I77" s="17">
        <f>IF(A77="COMPOSICAO",VLOOKUP("TOTAL - "&amp;B77,COMPOSICAO_AUX_4!$A:$J,10,FALSE),VLOOKUP(B77,I!$A:$D,4,FALSE))</f>
        <v>140</v>
      </c>
      <c r="J77" s="80">
        <f t="shared" si="2"/>
        <v>0.63</v>
      </c>
      <c r="K77" s="81"/>
    </row>
    <row r="78" spans="1:13" ht="15" customHeight="1" x14ac:dyDescent="0.25">
      <c r="A78" s="16" t="s">
        <v>306</v>
      </c>
      <c r="B78" s="16" t="s">
        <v>527</v>
      </c>
      <c r="C78" s="77" t="str">
        <f>VLOOKUP(B78,IF(A78="COMPOSICAO",S!$A:$D,I!$A:$D),2,FALSE)</f>
        <v>EXAMES ADMISSIONAIS/DEMISSIONAIS (CHECKUP)</v>
      </c>
      <c r="D78" s="77"/>
      <c r="E78" s="77"/>
      <c r="F78" s="77"/>
      <c r="G78" s="16" t="str">
        <f>VLOOKUP(B78,IF(A78="COMPOSICAO",S!$A:$D,I!$A:$D),3,FALSE)</f>
        <v>CJ</v>
      </c>
      <c r="H78" s="29">
        <v>4.0000000000000002E-4</v>
      </c>
      <c r="I78" s="17">
        <f>IF(A78="COMPOSICAO",VLOOKUP("TOTAL - "&amp;B78,COMPOSICAO_AUX_4!$A:$J,10,FALSE),VLOOKUP(B78,I!$A:$D,4,FALSE))</f>
        <v>300</v>
      </c>
      <c r="J78" s="80">
        <f t="shared" si="2"/>
        <v>0.12</v>
      </c>
      <c r="K78" s="81"/>
    </row>
    <row r="79" spans="1:13" ht="15" customHeight="1" x14ac:dyDescent="0.25">
      <c r="A79" s="16" t="s">
        <v>306</v>
      </c>
      <c r="B79" s="16" t="s">
        <v>809</v>
      </c>
      <c r="C79" s="77" t="str">
        <f>VLOOKUP(B79,IF(A79="COMPOSICAO",S!$A:$D,I!$A:$D),2,FALSE)</f>
        <v>ARCO DE SERRA</v>
      </c>
      <c r="D79" s="77"/>
      <c r="E79" s="77"/>
      <c r="F79" s="77"/>
      <c r="G79" s="16" t="str">
        <f>VLOOKUP(B79,IF(A79="COMPOSICAO",S!$A:$D,I!$A:$D),3,FALSE)</f>
        <v>UN</v>
      </c>
      <c r="H79" s="29">
        <v>2.0000000000000001E-4</v>
      </c>
      <c r="I79" s="17">
        <f>IF(A79="COMPOSICAO",VLOOKUP("TOTAL - "&amp;B79,COMPOSICAO_AUX_4!$A:$J,10,FALSE),VLOOKUP(B79,I!$A:$D,4,FALSE))</f>
        <v>21.25</v>
      </c>
      <c r="J79" s="80">
        <f t="shared" si="2"/>
        <v>0</v>
      </c>
      <c r="K79" s="81"/>
    </row>
    <row r="80" spans="1:13" ht="15" customHeight="1" x14ac:dyDescent="0.25">
      <c r="A80" s="16" t="s">
        <v>306</v>
      </c>
      <c r="B80" s="16" t="s">
        <v>810</v>
      </c>
      <c r="C80" s="77" t="str">
        <f>VLOOKUP(B80,IF(A80="COMPOSICAO",S!$A:$D,I!$A:$D),2,FALSE)</f>
        <v>TORQUESA</v>
      </c>
      <c r="D80" s="77"/>
      <c r="E80" s="77"/>
      <c r="F80" s="77"/>
      <c r="G80" s="16" t="str">
        <f>VLOOKUP(B80,IF(A80="COMPOSICAO",S!$A:$D,I!$A:$D),3,FALSE)</f>
        <v>UN</v>
      </c>
      <c r="H80" s="29">
        <v>2.0000000000000001E-4</v>
      </c>
      <c r="I80" s="17">
        <f>IF(A80="COMPOSICAO",VLOOKUP("TOTAL - "&amp;B80,COMPOSICAO_AUX_4!$A:$J,10,FALSE),VLOOKUP(B80,I!$A:$D,4,FALSE))</f>
        <v>17.899999999999999</v>
      </c>
      <c r="J80" s="80">
        <f t="shared" si="2"/>
        <v>0</v>
      </c>
      <c r="K80" s="81"/>
    </row>
    <row r="81" spans="1:13" ht="15" customHeight="1" x14ac:dyDescent="0.25">
      <c r="A81" s="16" t="s">
        <v>306</v>
      </c>
      <c r="B81" s="16" t="s">
        <v>528</v>
      </c>
      <c r="C81" s="77" t="str">
        <f>VLOOKUP(B81,IF(A81="COMPOSICAO",S!$A:$D,I!$A:$D),2,FALSE)</f>
        <v>PROTETOR AURICULAR</v>
      </c>
      <c r="D81" s="77"/>
      <c r="E81" s="77"/>
      <c r="F81" s="77"/>
      <c r="G81" s="16" t="str">
        <f>VLOOKUP(B81,IF(A81="COMPOSICAO",S!$A:$D,I!$A:$D),3,FALSE)</f>
        <v>UN</v>
      </c>
      <c r="H81" s="29">
        <v>4.4999999999999997E-3</v>
      </c>
      <c r="I81" s="17">
        <f>IF(A81="COMPOSICAO",VLOOKUP("TOTAL - "&amp;B81,COMPOSICAO_AUX_4!$A:$J,10,FALSE),VLOOKUP(B81,I!$A:$D,4,FALSE))</f>
        <v>4.9000000000000004</v>
      </c>
      <c r="J81" s="80">
        <f t="shared" si="2"/>
        <v>0.02</v>
      </c>
      <c r="K81" s="81"/>
    </row>
    <row r="82" spans="1:13" ht="15" customHeight="1" x14ac:dyDescent="0.25">
      <c r="A82" s="16" t="s">
        <v>306</v>
      </c>
      <c r="B82" s="16" t="s">
        <v>529</v>
      </c>
      <c r="C82" s="77" t="str">
        <f>VLOOKUP(B82,IF(A82="COMPOSICAO",S!$A:$D,I!$A:$D),2,FALSE)</f>
        <v>PROTETOR SOLAR FPS 30 COM 120ML</v>
      </c>
      <c r="D82" s="77"/>
      <c r="E82" s="77"/>
      <c r="F82" s="77"/>
      <c r="G82" s="16" t="str">
        <f>VLOOKUP(B82,IF(A82="COMPOSICAO",S!$A:$D,I!$A:$D),3,FALSE)</f>
        <v>UN</v>
      </c>
      <c r="H82" s="29">
        <v>1.8E-3</v>
      </c>
      <c r="I82" s="17">
        <f>IF(A82="COMPOSICAO",VLOOKUP("TOTAL - "&amp;B82,COMPOSICAO_AUX_4!$A:$J,10,FALSE),VLOOKUP(B82,I!$A:$D,4,FALSE))</f>
        <v>35.9</v>
      </c>
      <c r="J82" s="80">
        <f t="shared" si="2"/>
        <v>0.06</v>
      </c>
      <c r="K82" s="81"/>
    </row>
    <row r="83" spans="1:13" ht="30" customHeight="1" x14ac:dyDescent="0.25">
      <c r="A83" s="16" t="s">
        <v>306</v>
      </c>
      <c r="B83" s="16" t="s">
        <v>530</v>
      </c>
      <c r="C83" s="77" t="str">
        <f>VLOOKUP(B83,IF(A83="COMPOSICAO",S!$A:$D,I!$A:$D),2,FALSE)</f>
        <v>REFEIÇÃO - CAFÉ DA MANHÃ ( CAFÉ COM LEITE E DOIS PÃES COM MANTEIGA)</v>
      </c>
      <c r="D83" s="77"/>
      <c r="E83" s="77"/>
      <c r="F83" s="77"/>
      <c r="G83" s="16" t="str">
        <f>VLOOKUP(B83,IF(A83="COMPOSICAO",S!$A:$D,I!$A:$D),3,FALSE)</f>
        <v>UN</v>
      </c>
      <c r="H83" s="29">
        <v>0.1018</v>
      </c>
      <c r="I83" s="17">
        <f>IF(A83="COMPOSICAO",VLOOKUP("TOTAL - "&amp;B83,COMPOSICAO_AUX_4!$A:$J,10,FALSE),VLOOKUP(B83,I!$A:$D,4,FALSE))</f>
        <v>4.5</v>
      </c>
      <c r="J83" s="80">
        <f t="shared" si="2"/>
        <v>0.45</v>
      </c>
      <c r="K83" s="81"/>
    </row>
    <row r="84" spans="1:13" ht="30" customHeight="1" x14ac:dyDescent="0.25">
      <c r="A84" s="16" t="s">
        <v>306</v>
      </c>
      <c r="B84" s="20">
        <v>12892</v>
      </c>
      <c r="C84" s="77" t="str">
        <f>VLOOKUP(B84,IF(A84="COMPOSICAO",S!$A:$D,I!$A:$D),2,FALSE)</f>
        <v>LUVA RASPA DE COURO, CANO CURTO (PUNHO *7* CM)</v>
      </c>
      <c r="D84" s="77"/>
      <c r="E84" s="77"/>
      <c r="F84" s="77"/>
      <c r="G84" s="16" t="str">
        <f>VLOOKUP(B84,IF(A84="COMPOSICAO",S!$A:$D,I!$A:$D),3,FALSE)</f>
        <v>PAR</v>
      </c>
      <c r="H84" s="29">
        <v>2.3E-3</v>
      </c>
      <c r="I84" s="17">
        <f>IF(A84="COMPOSICAO",VLOOKUP("TOTAL - "&amp;B84,COMPOSICAO_AUX_4!$A:$J,10,FALSE),VLOOKUP(B84,I!$A:$D,4,FALSE))</f>
        <v>12.91</v>
      </c>
      <c r="J84" s="80">
        <f t="shared" si="2"/>
        <v>0.02</v>
      </c>
      <c r="K84" s="81"/>
    </row>
    <row r="85" spans="1:13" ht="30" customHeight="1" x14ac:dyDescent="0.25">
      <c r="A85" s="16" t="s">
        <v>306</v>
      </c>
      <c r="B85" s="20">
        <v>12893</v>
      </c>
      <c r="C85" s="77" t="str">
        <f>VLOOKUP(B85,IF(A85="COMPOSICAO",S!$A:$D,I!$A:$D),2,FALSE)</f>
        <v>BOTA DE SEGURANCA COM BIQUEIRA DE ACO E COLARINHO ACOLCHOADO</v>
      </c>
      <c r="D85" s="77"/>
      <c r="E85" s="77"/>
      <c r="F85" s="77"/>
      <c r="G85" s="16" t="str">
        <f>VLOOKUP(B85,IF(A85="COMPOSICAO",S!$A:$D,I!$A:$D),3,FALSE)</f>
        <v>PAR</v>
      </c>
      <c r="H85" s="29">
        <v>8.0000000000000004E-4</v>
      </c>
      <c r="I85" s="17">
        <f>IF(A85="COMPOSICAO",VLOOKUP("TOTAL - "&amp;B85,COMPOSICAO_AUX_4!$A:$J,10,FALSE),VLOOKUP(B85,I!$A:$D,4,FALSE))</f>
        <v>68.88</v>
      </c>
      <c r="J85" s="80">
        <f t="shared" si="2"/>
        <v>0.05</v>
      </c>
      <c r="K85" s="81"/>
    </row>
    <row r="86" spans="1:13" ht="30" customHeight="1" x14ac:dyDescent="0.25">
      <c r="A86" s="16" t="s">
        <v>306</v>
      </c>
      <c r="B86" s="20">
        <v>12894</v>
      </c>
      <c r="C86" s="77" t="str">
        <f>VLOOKUP(B86,IF(A86="COMPOSICAO",S!$A:$D,I!$A:$D),2,FALSE)</f>
        <v>CAPA PARA CHUVA EM PVC COM FORRO DE POLIESTER, COM CAPUZ (AMARELA OU AZUL)</v>
      </c>
      <c r="D86" s="77"/>
      <c r="E86" s="77"/>
      <c r="F86" s="77"/>
      <c r="G86" s="16" t="str">
        <f>VLOOKUP(B86,IF(A86="COMPOSICAO",S!$A:$D,I!$A:$D),3,FALSE)</f>
        <v>UN</v>
      </c>
      <c r="H86" s="29">
        <v>2.0000000000000001E-4</v>
      </c>
      <c r="I86" s="17">
        <f>IF(A86="COMPOSICAO",VLOOKUP("TOTAL - "&amp;B86,COMPOSICAO_AUX_4!$A:$J,10,FALSE),VLOOKUP(B86,I!$A:$D,4,FALSE))</f>
        <v>18.649999999999999</v>
      </c>
      <c r="J86" s="80">
        <f t="shared" si="2"/>
        <v>0</v>
      </c>
      <c r="K86" s="81"/>
    </row>
    <row r="87" spans="1:13" ht="30" customHeight="1" x14ac:dyDescent="0.25">
      <c r="A87" s="16" t="s">
        <v>306</v>
      </c>
      <c r="B87" s="20">
        <v>12895</v>
      </c>
      <c r="C87" s="77" t="str">
        <f>VLOOKUP(B87,IF(A87="COMPOSICAO",S!$A:$D,I!$A:$D),2,FALSE)</f>
        <v>CAPACETE DE SEGURANCA ABA FRONTAL COM SUSPENSAO DE POLIETILENO, SEM JUGULAR (CLASSE B)</v>
      </c>
      <c r="D87" s="77"/>
      <c r="E87" s="77"/>
      <c r="F87" s="77"/>
      <c r="G87" s="16" t="str">
        <f>VLOOKUP(B87,IF(A87="COMPOSICAO",S!$A:$D,I!$A:$D),3,FALSE)</f>
        <v>UN</v>
      </c>
      <c r="H87" s="29">
        <v>5.9999999999999995E-4</v>
      </c>
      <c r="I87" s="17">
        <f>IF(A87="COMPOSICAO",VLOOKUP("TOTAL - "&amp;B87,COMPOSICAO_AUX_4!$A:$J,10,FALSE),VLOOKUP(B87,I!$A:$D,4,FALSE))</f>
        <v>14.35</v>
      </c>
      <c r="J87" s="80">
        <f t="shared" si="2"/>
        <v>0</v>
      </c>
      <c r="K87" s="81"/>
    </row>
    <row r="88" spans="1:13" ht="15" customHeight="1" x14ac:dyDescent="0.25">
      <c r="A88" s="23" t="s">
        <v>811</v>
      </c>
      <c r="B88" s="24"/>
      <c r="C88" s="24"/>
      <c r="D88" s="24"/>
      <c r="E88" s="24"/>
      <c r="F88" s="24"/>
      <c r="G88" s="25"/>
      <c r="H88" s="26"/>
      <c r="I88" s="27"/>
      <c r="J88" s="80">
        <f>SUM(J71:K87)</f>
        <v>2.7800000000000002</v>
      </c>
      <c r="K88" s="81"/>
    </row>
    <row r="89" spans="1:13" ht="15" customHeight="1" x14ac:dyDescent="0.25">
      <c r="A89" s="3"/>
      <c r="B89" s="3"/>
      <c r="C89" s="3"/>
      <c r="D89" s="3"/>
      <c r="E89" s="3"/>
      <c r="F89" s="3"/>
      <c r="G89" s="3"/>
      <c r="H89" s="3"/>
      <c r="I89" s="3"/>
      <c r="J89" s="3"/>
      <c r="K89" s="3"/>
    </row>
    <row r="90" spans="1:13" ht="15" customHeight="1" x14ac:dyDescent="0.25">
      <c r="A90" s="10" t="s">
        <v>295</v>
      </c>
      <c r="B90" s="10" t="s">
        <v>31</v>
      </c>
      <c r="C90" s="82" t="s">
        <v>7</v>
      </c>
      <c r="D90" s="83"/>
      <c r="E90" s="83"/>
      <c r="F90" s="83"/>
      <c r="G90" s="6" t="s">
        <v>32</v>
      </c>
      <c r="H90" s="6" t="s">
        <v>296</v>
      </c>
      <c r="I90" s="6" t="s">
        <v>297</v>
      </c>
      <c r="J90" s="57" t="s">
        <v>9</v>
      </c>
      <c r="K90" s="58"/>
    </row>
    <row r="91" spans="1:13" ht="15" customHeight="1" x14ac:dyDescent="0.25">
      <c r="A91" s="6" t="s">
        <v>11</v>
      </c>
      <c r="B91" s="6" t="s">
        <v>666</v>
      </c>
      <c r="C91" s="91" t="str">
        <f>VLOOKUP(B91,S!$A:$D,2,FALSE)</f>
        <v>ENCARGOS COMPLEMENTARES - CARPINTEIRO</v>
      </c>
      <c r="D91" s="91"/>
      <c r="E91" s="91"/>
      <c r="F91" s="92"/>
      <c r="G91" s="6" t="str">
        <f>VLOOKUP(B91,S!$A:$D,3,FALSE)</f>
        <v>H</v>
      </c>
      <c r="H91" s="21"/>
      <c r="I91" s="21">
        <f>J112</f>
        <v>2.8400000000000003</v>
      </c>
      <c r="J91" s="76"/>
      <c r="K91" s="72"/>
      <c r="L91" s="21">
        <f>VLOOKUP(B91,S!$A:$D,4,FALSE)</f>
        <v>2.89</v>
      </c>
      <c r="M91" s="6" t="str">
        <f>IF(ROUND((L91-I91),2)=0,"OK, confere com a tabela.",IF(ROUND((L91-I91),2)&lt;0,"ACIMA ("&amp;TEXT(ROUND(I91*100/L91,4),"0,0000")&amp;" %) da tabela.","ABAIXO ("&amp;TEXT(ROUND(I91*100/L91,4),"0,0000")&amp;" %) da tabela."))</f>
        <v>ABAIXO (98,2699 %) da tabela.</v>
      </c>
    </row>
    <row r="92" spans="1:13" ht="15" customHeight="1" x14ac:dyDescent="0.25">
      <c r="A92" s="16" t="s">
        <v>306</v>
      </c>
      <c r="B92" s="16" t="s">
        <v>519</v>
      </c>
      <c r="C92" s="77" t="str">
        <f>VLOOKUP(B92,IF(A92="COMPOSICAO",S!$A:$D,I!$A:$D),2,FALSE)</f>
        <v>ALMOÇO (PARTICIPAÇÃO DO EMPREGADOR)</v>
      </c>
      <c r="D92" s="77"/>
      <c r="E92" s="77"/>
      <c r="F92" s="77"/>
      <c r="G92" s="16" t="str">
        <f>VLOOKUP(B92,IF(A92="COMPOSICAO",S!$A:$D,I!$A:$D),3,FALSE)</f>
        <v>UN</v>
      </c>
      <c r="H92" s="29">
        <v>0.1018</v>
      </c>
      <c r="I92" s="17">
        <f>IF(A92="COMPOSICAO",VLOOKUP("TOTAL - "&amp;B92,COMPOSICAO_AUX_4!$A:$J,10,FALSE),VLOOKUP(B92,I!$A:$D,4,FALSE))</f>
        <v>10</v>
      </c>
      <c r="J92" s="80">
        <f t="shared" ref="J92:J111" si="3">TRUNC(H92*I92,2)</f>
        <v>1.01</v>
      </c>
      <c r="K92" s="81"/>
    </row>
    <row r="93" spans="1:13" ht="15" customHeight="1" x14ac:dyDescent="0.25">
      <c r="A93" s="16" t="s">
        <v>306</v>
      </c>
      <c r="B93" s="16" t="s">
        <v>520</v>
      </c>
      <c r="C93" s="77" t="str">
        <f>VLOOKUP(B93,IF(A93="COMPOSICAO",S!$A:$D,I!$A:$D),2,FALSE)</f>
        <v>FARDAMENTO</v>
      </c>
      <c r="D93" s="77"/>
      <c r="E93" s="77"/>
      <c r="F93" s="77"/>
      <c r="G93" s="16" t="str">
        <f>VLOOKUP(B93,IF(A93="COMPOSICAO",S!$A:$D,I!$A:$D),3,FALSE)</f>
        <v>UN</v>
      </c>
      <c r="H93" s="29">
        <v>1.5E-3</v>
      </c>
      <c r="I93" s="17">
        <f>IF(A93="COMPOSICAO",VLOOKUP("TOTAL - "&amp;B93,COMPOSICAO_AUX_4!$A:$J,10,FALSE),VLOOKUP(B93,I!$A:$D,4,FALSE))</f>
        <v>78.53</v>
      </c>
      <c r="J93" s="80">
        <f t="shared" si="3"/>
        <v>0.11</v>
      </c>
      <c r="K93" s="81"/>
    </row>
    <row r="94" spans="1:13" ht="15" customHeight="1" x14ac:dyDescent="0.25">
      <c r="A94" s="16" t="s">
        <v>306</v>
      </c>
      <c r="B94" s="16" t="s">
        <v>521</v>
      </c>
      <c r="C94" s="77" t="str">
        <f>VLOOKUP(B94,IF(A94="COMPOSICAO",S!$A:$D,I!$A:$D),2,FALSE)</f>
        <v>ÓCULOS BRANCO PROTEÇÃO</v>
      </c>
      <c r="D94" s="77"/>
      <c r="E94" s="77"/>
      <c r="F94" s="77"/>
      <c r="G94" s="16" t="str">
        <f>VLOOKUP(B94,IF(A94="COMPOSICAO",S!$A:$D,I!$A:$D),3,FALSE)</f>
        <v>PR</v>
      </c>
      <c r="H94" s="29">
        <v>6.9999999999999999E-4</v>
      </c>
      <c r="I94" s="17">
        <f>IF(A94="COMPOSICAO",VLOOKUP("TOTAL - "&amp;B94,COMPOSICAO_AUX_4!$A:$J,10,FALSE),VLOOKUP(B94,I!$A:$D,4,FALSE))</f>
        <v>5.9</v>
      </c>
      <c r="J94" s="80">
        <f t="shared" si="3"/>
        <v>0</v>
      </c>
      <c r="K94" s="81"/>
    </row>
    <row r="95" spans="1:13" ht="15" customHeight="1" x14ac:dyDescent="0.25">
      <c r="A95" s="16" t="s">
        <v>306</v>
      </c>
      <c r="B95" s="16" t="s">
        <v>522</v>
      </c>
      <c r="C95" s="77" t="str">
        <f>VLOOKUP(B95,IF(A95="COMPOSICAO",S!$A:$D,I!$A:$D),2,FALSE)</f>
        <v>VALE TRANSPORTE</v>
      </c>
      <c r="D95" s="77"/>
      <c r="E95" s="77"/>
      <c r="F95" s="77"/>
      <c r="G95" s="16" t="str">
        <f>VLOOKUP(B95,IF(A95="COMPOSICAO",S!$A:$D,I!$A:$D),3,FALSE)</f>
        <v>UN</v>
      </c>
      <c r="H95" s="29">
        <v>6.54E-2</v>
      </c>
      <c r="I95" s="17">
        <f>IF(A95="COMPOSICAO",VLOOKUP("TOTAL - "&amp;B95,COMPOSICAO_AUX_4!$A:$J,10,FALSE),VLOOKUP(B95,I!$A:$D,4,FALSE))</f>
        <v>4</v>
      </c>
      <c r="J95" s="80">
        <f t="shared" si="3"/>
        <v>0.26</v>
      </c>
      <c r="K95" s="81"/>
    </row>
    <row r="96" spans="1:13" ht="15" customHeight="1" x14ac:dyDescent="0.25">
      <c r="A96" s="16" t="s">
        <v>306</v>
      </c>
      <c r="B96" s="16" t="s">
        <v>525</v>
      </c>
      <c r="C96" s="77" t="str">
        <f>VLOOKUP(B96,IF(A96="COMPOSICAO",S!$A:$D,I!$A:$D),2,FALSE)</f>
        <v>SEGURO DE VIDA E ACIDENTE EM GRUPO</v>
      </c>
      <c r="D96" s="77"/>
      <c r="E96" s="77"/>
      <c r="F96" s="77"/>
      <c r="G96" s="16" t="str">
        <f>VLOOKUP(B96,IF(A96="COMPOSICAO",S!$A:$D,I!$A:$D),3,FALSE)</f>
        <v>UN</v>
      </c>
      <c r="H96" s="29">
        <v>4.4999999999999997E-3</v>
      </c>
      <c r="I96" s="17">
        <f>IF(A96="COMPOSICAO",VLOOKUP("TOTAL - "&amp;B96,COMPOSICAO_AUX_4!$A:$J,10,FALSE),VLOOKUP(B96,I!$A:$D,4,FALSE))</f>
        <v>12.54</v>
      </c>
      <c r="J96" s="80">
        <f t="shared" si="3"/>
        <v>0.05</v>
      </c>
      <c r="K96" s="81"/>
    </row>
    <row r="97" spans="1:11" ht="15" customHeight="1" x14ac:dyDescent="0.25">
      <c r="A97" s="16" t="s">
        <v>306</v>
      </c>
      <c r="B97" s="16" t="s">
        <v>526</v>
      </c>
      <c r="C97" s="77" t="str">
        <f>VLOOKUP(B97,IF(A97="COMPOSICAO",S!$A:$D,I!$A:$D),2,FALSE)</f>
        <v>CESTA BÁSICA</v>
      </c>
      <c r="D97" s="77"/>
      <c r="E97" s="77"/>
      <c r="F97" s="77"/>
      <c r="G97" s="16" t="str">
        <f>VLOOKUP(B97,IF(A97="COMPOSICAO",S!$A:$D,I!$A:$D),3,FALSE)</f>
        <v>UN</v>
      </c>
      <c r="H97" s="29">
        <v>4.4999999999999997E-3</v>
      </c>
      <c r="I97" s="17">
        <f>IF(A97="COMPOSICAO",VLOOKUP("TOTAL - "&amp;B97,COMPOSICAO_AUX_4!$A:$J,10,FALSE),VLOOKUP(B97,I!$A:$D,4,FALSE))</f>
        <v>140</v>
      </c>
      <c r="J97" s="80">
        <f t="shared" si="3"/>
        <v>0.63</v>
      </c>
      <c r="K97" s="81"/>
    </row>
    <row r="98" spans="1:11" ht="15" customHeight="1" x14ac:dyDescent="0.25">
      <c r="A98" s="16" t="s">
        <v>306</v>
      </c>
      <c r="B98" s="16" t="s">
        <v>527</v>
      </c>
      <c r="C98" s="77" t="str">
        <f>VLOOKUP(B98,IF(A98="COMPOSICAO",S!$A:$D,I!$A:$D),2,FALSE)</f>
        <v>EXAMES ADMISSIONAIS/DEMISSIONAIS (CHECKUP)</v>
      </c>
      <c r="D98" s="77"/>
      <c r="E98" s="77"/>
      <c r="F98" s="77"/>
      <c r="G98" s="16" t="str">
        <f>VLOOKUP(B98,IF(A98="COMPOSICAO",S!$A:$D,I!$A:$D),3,FALSE)</f>
        <v>CJ</v>
      </c>
      <c r="H98" s="29">
        <v>4.0000000000000002E-4</v>
      </c>
      <c r="I98" s="17">
        <f>IF(A98="COMPOSICAO",VLOOKUP("TOTAL - "&amp;B98,COMPOSICAO_AUX_4!$A:$J,10,FALSE),VLOOKUP(B98,I!$A:$D,4,FALSE))</f>
        <v>300</v>
      </c>
      <c r="J98" s="80">
        <f t="shared" si="3"/>
        <v>0.12</v>
      </c>
      <c r="K98" s="81"/>
    </row>
    <row r="99" spans="1:11" ht="15" customHeight="1" x14ac:dyDescent="0.25">
      <c r="A99" s="16" t="s">
        <v>306</v>
      </c>
      <c r="B99" s="16" t="s">
        <v>800</v>
      </c>
      <c r="C99" s="77" t="str">
        <f>VLOOKUP(B99,IF(A99="COMPOSICAO",S!$A:$D,I!$A:$D),2,FALSE)</f>
        <v>SERROTE 40CM</v>
      </c>
      <c r="D99" s="77"/>
      <c r="E99" s="77"/>
      <c r="F99" s="77"/>
      <c r="G99" s="16" t="str">
        <f>VLOOKUP(B99,IF(A99="COMPOSICAO",S!$A:$D,I!$A:$D),3,FALSE)</f>
        <v>UN</v>
      </c>
      <c r="H99" s="29">
        <v>1E-4</v>
      </c>
      <c r="I99" s="17">
        <f>IF(A99="COMPOSICAO",VLOOKUP("TOTAL - "&amp;B99,COMPOSICAO_AUX_4!$A:$J,10,FALSE),VLOOKUP(B99,I!$A:$D,4,FALSE))</f>
        <v>18.579999999999998</v>
      </c>
      <c r="J99" s="80">
        <f t="shared" si="3"/>
        <v>0</v>
      </c>
      <c r="K99" s="81"/>
    </row>
    <row r="100" spans="1:11" ht="15" customHeight="1" x14ac:dyDescent="0.25">
      <c r="A100" s="16" t="s">
        <v>306</v>
      </c>
      <c r="B100" s="16" t="s">
        <v>801</v>
      </c>
      <c r="C100" s="77" t="str">
        <f>VLOOKUP(B100,IF(A100="COMPOSICAO",S!$A:$D,I!$A:$D),2,FALSE)</f>
        <v>FORMÃO GRANDE</v>
      </c>
      <c r="D100" s="77"/>
      <c r="E100" s="77"/>
      <c r="F100" s="77"/>
      <c r="G100" s="16" t="str">
        <f>VLOOKUP(B100,IF(A100="COMPOSICAO",S!$A:$D,I!$A:$D),3,FALSE)</f>
        <v>UN</v>
      </c>
      <c r="H100" s="29">
        <v>2.0000000000000001E-4</v>
      </c>
      <c r="I100" s="17">
        <f>IF(A100="COMPOSICAO",VLOOKUP("TOTAL - "&amp;B100,COMPOSICAO_AUX_4!$A:$J,10,FALSE),VLOOKUP(B100,I!$A:$D,4,FALSE))</f>
        <v>15.15</v>
      </c>
      <c r="J100" s="80">
        <f t="shared" si="3"/>
        <v>0</v>
      </c>
      <c r="K100" s="81"/>
    </row>
    <row r="101" spans="1:11" ht="15" customHeight="1" x14ac:dyDescent="0.25">
      <c r="A101" s="16" t="s">
        <v>306</v>
      </c>
      <c r="B101" s="16" t="s">
        <v>713</v>
      </c>
      <c r="C101" s="77" t="str">
        <f>VLOOKUP(B101,IF(A101="COMPOSICAO",S!$A:$D,I!$A:$D),2,FALSE)</f>
        <v>CHAVE DE FENDA CHATA 30 CM</v>
      </c>
      <c r="D101" s="77"/>
      <c r="E101" s="77"/>
      <c r="F101" s="77"/>
      <c r="G101" s="16" t="str">
        <f>VLOOKUP(B101,IF(A101="COMPOSICAO",S!$A:$D,I!$A:$D),3,FALSE)</f>
        <v>UN</v>
      </c>
      <c r="H101" s="29">
        <v>2.0000000000000001E-4</v>
      </c>
      <c r="I101" s="17">
        <f>IF(A101="COMPOSICAO",VLOOKUP("TOTAL - "&amp;B101,COMPOSICAO_AUX_4!$A:$J,10,FALSE),VLOOKUP(B101,I!$A:$D,4,FALSE))</f>
        <v>22.89</v>
      </c>
      <c r="J101" s="80">
        <f t="shared" si="3"/>
        <v>0</v>
      </c>
      <c r="K101" s="81"/>
    </row>
    <row r="102" spans="1:11" ht="15" customHeight="1" x14ac:dyDescent="0.25">
      <c r="A102" s="16" t="s">
        <v>306</v>
      </c>
      <c r="B102" s="16" t="s">
        <v>528</v>
      </c>
      <c r="C102" s="77" t="str">
        <f>VLOOKUP(B102,IF(A102="COMPOSICAO",S!$A:$D,I!$A:$D),2,FALSE)</f>
        <v>PROTETOR AURICULAR</v>
      </c>
      <c r="D102" s="77"/>
      <c r="E102" s="77"/>
      <c r="F102" s="77"/>
      <c r="G102" s="16" t="str">
        <f>VLOOKUP(B102,IF(A102="COMPOSICAO",S!$A:$D,I!$A:$D),3,FALSE)</f>
        <v>UN</v>
      </c>
      <c r="H102" s="29">
        <v>4.4999999999999997E-3</v>
      </c>
      <c r="I102" s="17">
        <f>IF(A102="COMPOSICAO",VLOOKUP("TOTAL - "&amp;B102,COMPOSICAO_AUX_4!$A:$J,10,FALSE),VLOOKUP(B102,I!$A:$D,4,FALSE))</f>
        <v>4.9000000000000004</v>
      </c>
      <c r="J102" s="80">
        <f t="shared" si="3"/>
        <v>0.02</v>
      </c>
      <c r="K102" s="81"/>
    </row>
    <row r="103" spans="1:11" ht="15" customHeight="1" x14ac:dyDescent="0.25">
      <c r="A103" s="16" t="s">
        <v>306</v>
      </c>
      <c r="B103" s="16" t="s">
        <v>529</v>
      </c>
      <c r="C103" s="77" t="str">
        <f>VLOOKUP(B103,IF(A103="COMPOSICAO",S!$A:$D,I!$A:$D),2,FALSE)</f>
        <v>PROTETOR SOLAR FPS 30 COM 120ML</v>
      </c>
      <c r="D103" s="77"/>
      <c r="E103" s="77"/>
      <c r="F103" s="77"/>
      <c r="G103" s="16" t="str">
        <f>VLOOKUP(B103,IF(A103="COMPOSICAO",S!$A:$D,I!$A:$D),3,FALSE)</f>
        <v>UN</v>
      </c>
      <c r="H103" s="29">
        <v>1.8E-3</v>
      </c>
      <c r="I103" s="17">
        <f>IF(A103="COMPOSICAO",VLOOKUP("TOTAL - "&amp;B103,COMPOSICAO_AUX_4!$A:$J,10,FALSE),VLOOKUP(B103,I!$A:$D,4,FALSE))</f>
        <v>35.9</v>
      </c>
      <c r="J103" s="80">
        <f t="shared" si="3"/>
        <v>0.06</v>
      </c>
      <c r="K103" s="81"/>
    </row>
    <row r="104" spans="1:11" ht="30" customHeight="1" x14ac:dyDescent="0.25">
      <c r="A104" s="16" t="s">
        <v>306</v>
      </c>
      <c r="B104" s="16" t="s">
        <v>530</v>
      </c>
      <c r="C104" s="77" t="str">
        <f>VLOOKUP(B104,IF(A104="COMPOSICAO",S!$A:$D,I!$A:$D),2,FALSE)</f>
        <v>REFEIÇÃO - CAFÉ DA MANHÃ ( CAFÉ COM LEITE E DOIS PÃES COM MANTEIGA)</v>
      </c>
      <c r="D104" s="77"/>
      <c r="E104" s="77"/>
      <c r="F104" s="77"/>
      <c r="G104" s="16" t="str">
        <f>VLOOKUP(B104,IF(A104="COMPOSICAO",S!$A:$D,I!$A:$D),3,FALSE)</f>
        <v>UN</v>
      </c>
      <c r="H104" s="29">
        <v>0.1018</v>
      </c>
      <c r="I104" s="17">
        <f>IF(A104="COMPOSICAO",VLOOKUP("TOTAL - "&amp;B104,COMPOSICAO_AUX_4!$A:$J,10,FALSE),VLOOKUP(B104,I!$A:$D,4,FALSE))</f>
        <v>4.5</v>
      </c>
      <c r="J104" s="80">
        <f t="shared" si="3"/>
        <v>0.45</v>
      </c>
      <c r="K104" s="81"/>
    </row>
    <row r="105" spans="1:11" ht="15" customHeight="1" x14ac:dyDescent="0.25">
      <c r="A105" s="16" t="s">
        <v>306</v>
      </c>
      <c r="B105" s="16" t="s">
        <v>802</v>
      </c>
      <c r="C105" s="77" t="str">
        <f>VLOOKUP(B105,IF(A105="COMPOSICAO",S!$A:$D,I!$A:$D),2,FALSE)</f>
        <v>MARTELO COM UNHA</v>
      </c>
      <c r="D105" s="77"/>
      <c r="E105" s="77"/>
      <c r="F105" s="77"/>
      <c r="G105" s="16" t="str">
        <f>VLOOKUP(B105,IF(A105="COMPOSICAO",S!$A:$D,I!$A:$D),3,FALSE)</f>
        <v>UN</v>
      </c>
      <c r="H105" s="29">
        <v>2.0000000000000001E-4</v>
      </c>
      <c r="I105" s="17">
        <f>IF(A105="COMPOSICAO",VLOOKUP("TOTAL - "&amp;B105,COMPOSICAO_AUX_4!$A:$J,10,FALSE),VLOOKUP(B105,I!$A:$D,4,FALSE))</f>
        <v>37.9</v>
      </c>
      <c r="J105" s="80">
        <f t="shared" si="3"/>
        <v>0</v>
      </c>
      <c r="K105" s="81"/>
    </row>
    <row r="106" spans="1:11" ht="30" customHeight="1" x14ac:dyDescent="0.25">
      <c r="A106" s="16" t="s">
        <v>306</v>
      </c>
      <c r="B106" s="16" t="s">
        <v>803</v>
      </c>
      <c r="C106" s="77" t="str">
        <f>VLOOKUP(B106,IF(A106="COMPOSICAO",S!$A:$D,I!$A:$D),2,FALSE)</f>
        <v>FURADEIRA E PARAFUSADEIRA ELETRICA BOSCH OU SIMILAR PROFISSIONAL</v>
      </c>
      <c r="D106" s="77"/>
      <c r="E106" s="77"/>
      <c r="F106" s="77"/>
      <c r="G106" s="16" t="str">
        <f>VLOOKUP(B106,IF(A106="COMPOSICAO",S!$A:$D,I!$A:$D),3,FALSE)</f>
        <v>UN</v>
      </c>
      <c r="H106" s="29">
        <v>1E-4</v>
      </c>
      <c r="I106" s="17">
        <f>IF(A106="COMPOSICAO",VLOOKUP("TOTAL - "&amp;B106,COMPOSICAO_AUX_4!$A:$J,10,FALSE),VLOOKUP(B106,I!$A:$D,4,FALSE))</f>
        <v>246</v>
      </c>
      <c r="J106" s="80">
        <f t="shared" si="3"/>
        <v>0.02</v>
      </c>
      <c r="K106" s="81"/>
    </row>
    <row r="107" spans="1:11" ht="15" customHeight="1" x14ac:dyDescent="0.25">
      <c r="A107" s="16" t="s">
        <v>306</v>
      </c>
      <c r="B107" s="16" t="s">
        <v>804</v>
      </c>
      <c r="C107" s="77" t="str">
        <f>VLOOKUP(B107,IF(A107="COMPOSICAO",S!$A:$D,I!$A:$D),2,FALSE)</f>
        <v>SERRA CIRCULAR ELETRICA PORTATIL</v>
      </c>
      <c r="D107" s="77"/>
      <c r="E107" s="77"/>
      <c r="F107" s="77"/>
      <c r="G107" s="16" t="str">
        <f>VLOOKUP(B107,IF(A107="COMPOSICAO",S!$A:$D,I!$A:$D),3,FALSE)</f>
        <v>UN</v>
      </c>
      <c r="H107" s="29">
        <v>1E-4</v>
      </c>
      <c r="I107" s="17">
        <f>IF(A107="COMPOSICAO",VLOOKUP("TOTAL - "&amp;B107,COMPOSICAO_AUX_4!$A:$J,10,FALSE),VLOOKUP(B107,I!$A:$D,4,FALSE))</f>
        <v>518</v>
      </c>
      <c r="J107" s="80">
        <f t="shared" si="3"/>
        <v>0.05</v>
      </c>
      <c r="K107" s="81"/>
    </row>
    <row r="108" spans="1:11" ht="30" customHeight="1" x14ac:dyDescent="0.25">
      <c r="A108" s="16" t="s">
        <v>306</v>
      </c>
      <c r="B108" s="20">
        <v>12892</v>
      </c>
      <c r="C108" s="77" t="str">
        <f>VLOOKUP(B108,IF(A108="COMPOSICAO",S!$A:$D,I!$A:$D),2,FALSE)</f>
        <v>LUVA RASPA DE COURO, CANO CURTO (PUNHO *7* CM)</v>
      </c>
      <c r="D108" s="77"/>
      <c r="E108" s="77"/>
      <c r="F108" s="77"/>
      <c r="G108" s="16" t="str">
        <f>VLOOKUP(B108,IF(A108="COMPOSICAO",S!$A:$D,I!$A:$D),3,FALSE)</f>
        <v>PAR</v>
      </c>
      <c r="H108" s="29">
        <v>2.3E-3</v>
      </c>
      <c r="I108" s="17">
        <f>IF(A108="COMPOSICAO",VLOOKUP("TOTAL - "&amp;B108,COMPOSICAO_AUX_4!$A:$J,10,FALSE),VLOOKUP(B108,I!$A:$D,4,FALSE))</f>
        <v>12.91</v>
      </c>
      <c r="J108" s="80">
        <f t="shared" si="3"/>
        <v>0.02</v>
      </c>
      <c r="K108" s="81"/>
    </row>
    <row r="109" spans="1:11" ht="30" customHeight="1" x14ac:dyDescent="0.25">
      <c r="A109" s="16" t="s">
        <v>306</v>
      </c>
      <c r="B109" s="20">
        <v>12893</v>
      </c>
      <c r="C109" s="77" t="str">
        <f>VLOOKUP(B109,IF(A109="COMPOSICAO",S!$A:$D,I!$A:$D),2,FALSE)</f>
        <v>BOTA DE SEGURANCA COM BIQUEIRA DE ACO E COLARINHO ACOLCHOADO</v>
      </c>
      <c r="D109" s="77"/>
      <c r="E109" s="77"/>
      <c r="F109" s="77"/>
      <c r="G109" s="16" t="str">
        <f>VLOOKUP(B109,IF(A109="COMPOSICAO",S!$A:$D,I!$A:$D),3,FALSE)</f>
        <v>PAR</v>
      </c>
      <c r="H109" s="29">
        <v>6.9999999999999999E-4</v>
      </c>
      <c r="I109" s="17">
        <f>IF(A109="COMPOSICAO",VLOOKUP("TOTAL - "&amp;B109,COMPOSICAO_AUX_4!$A:$J,10,FALSE),VLOOKUP(B109,I!$A:$D,4,FALSE))</f>
        <v>68.88</v>
      </c>
      <c r="J109" s="80">
        <f t="shared" si="3"/>
        <v>0.04</v>
      </c>
      <c r="K109" s="81"/>
    </row>
    <row r="110" spans="1:11" ht="30" customHeight="1" x14ac:dyDescent="0.25">
      <c r="A110" s="16" t="s">
        <v>306</v>
      </c>
      <c r="B110" s="20">
        <v>12894</v>
      </c>
      <c r="C110" s="77" t="str">
        <f>VLOOKUP(B110,IF(A110="COMPOSICAO",S!$A:$D,I!$A:$D),2,FALSE)</f>
        <v>CAPA PARA CHUVA EM PVC COM FORRO DE POLIESTER, COM CAPUZ (AMARELA OU AZUL)</v>
      </c>
      <c r="D110" s="77"/>
      <c r="E110" s="77"/>
      <c r="F110" s="77"/>
      <c r="G110" s="16" t="str">
        <f>VLOOKUP(B110,IF(A110="COMPOSICAO",S!$A:$D,I!$A:$D),3,FALSE)</f>
        <v>UN</v>
      </c>
      <c r="H110" s="29">
        <v>2.0000000000000001E-4</v>
      </c>
      <c r="I110" s="17">
        <f>IF(A110="COMPOSICAO",VLOOKUP("TOTAL - "&amp;B110,COMPOSICAO_AUX_4!$A:$J,10,FALSE),VLOOKUP(B110,I!$A:$D,4,FALSE))</f>
        <v>18.649999999999999</v>
      </c>
      <c r="J110" s="80">
        <f t="shared" si="3"/>
        <v>0</v>
      </c>
      <c r="K110" s="81"/>
    </row>
    <row r="111" spans="1:11" ht="30" customHeight="1" x14ac:dyDescent="0.25">
      <c r="A111" s="16" t="s">
        <v>306</v>
      </c>
      <c r="B111" s="20">
        <v>12895</v>
      </c>
      <c r="C111" s="77" t="str">
        <f>VLOOKUP(B111,IF(A111="COMPOSICAO",S!$A:$D,I!$A:$D),2,FALSE)</f>
        <v>CAPACETE DE SEGURANCA ABA FRONTAL COM SUSPENSAO DE POLIETILENO, SEM JUGULAR (CLASSE B)</v>
      </c>
      <c r="D111" s="77"/>
      <c r="E111" s="77"/>
      <c r="F111" s="77"/>
      <c r="G111" s="16" t="str">
        <f>VLOOKUP(B111,IF(A111="COMPOSICAO",S!$A:$D,I!$A:$D),3,FALSE)</f>
        <v>UN</v>
      </c>
      <c r="H111" s="29">
        <v>5.9999999999999995E-4</v>
      </c>
      <c r="I111" s="17">
        <f>IF(A111="COMPOSICAO",VLOOKUP("TOTAL - "&amp;B111,COMPOSICAO_AUX_4!$A:$J,10,FALSE),VLOOKUP(B111,I!$A:$D,4,FALSE))</f>
        <v>14.35</v>
      </c>
      <c r="J111" s="80">
        <f t="shared" si="3"/>
        <v>0</v>
      </c>
      <c r="K111" s="81"/>
    </row>
    <row r="112" spans="1:11" ht="15" customHeight="1" x14ac:dyDescent="0.25">
      <c r="A112" s="23" t="s">
        <v>805</v>
      </c>
      <c r="B112" s="24"/>
      <c r="C112" s="24"/>
      <c r="D112" s="24"/>
      <c r="E112" s="24"/>
      <c r="F112" s="24"/>
      <c r="G112" s="25"/>
      <c r="H112" s="26"/>
      <c r="I112" s="27"/>
      <c r="J112" s="80">
        <f>SUM(J91:K111)</f>
        <v>2.8400000000000003</v>
      </c>
      <c r="K112" s="81"/>
    </row>
    <row r="113" spans="1:13" ht="15" customHeight="1" x14ac:dyDescent="0.25">
      <c r="A113" s="3"/>
      <c r="B113" s="3"/>
      <c r="C113" s="3"/>
      <c r="D113" s="3"/>
      <c r="E113" s="3"/>
      <c r="F113" s="3"/>
      <c r="G113" s="3"/>
      <c r="H113" s="3"/>
      <c r="I113" s="3"/>
      <c r="J113" s="3"/>
      <c r="K113" s="3"/>
    </row>
    <row r="114" spans="1:13" ht="15" customHeight="1" x14ac:dyDescent="0.25">
      <c r="A114" s="10" t="s">
        <v>295</v>
      </c>
      <c r="B114" s="10" t="s">
        <v>31</v>
      </c>
      <c r="C114" s="82" t="s">
        <v>7</v>
      </c>
      <c r="D114" s="83"/>
      <c r="E114" s="83"/>
      <c r="F114" s="83"/>
      <c r="G114" s="6" t="s">
        <v>32</v>
      </c>
      <c r="H114" s="6" t="s">
        <v>296</v>
      </c>
      <c r="I114" s="6" t="s">
        <v>297</v>
      </c>
      <c r="J114" s="57" t="s">
        <v>9</v>
      </c>
      <c r="K114" s="58"/>
    </row>
    <row r="115" spans="1:13" ht="30" customHeight="1" x14ac:dyDescent="0.25">
      <c r="A115" s="6" t="s">
        <v>11</v>
      </c>
      <c r="B115" s="6" t="s">
        <v>671</v>
      </c>
      <c r="C115" s="91" t="str">
        <f>VLOOKUP(B115,S!$A:$D,2,FALSE)</f>
        <v>CONCRETO SIMPLES FCK= 15 MPA (B1/B2), FABRICADO NA OBRA, SEM LANÇAMENTO E ADENSAMENTO</v>
      </c>
      <c r="D115" s="91"/>
      <c r="E115" s="91"/>
      <c r="F115" s="92"/>
      <c r="G115" s="6" t="str">
        <f>VLOOKUP(B115,S!$A:$D,3,FALSE)</f>
        <v>M3</v>
      </c>
      <c r="H115" s="21"/>
      <c r="I115" s="21">
        <f>J122</f>
        <v>412.07</v>
      </c>
      <c r="J115" s="76"/>
      <c r="K115" s="72"/>
      <c r="L115" s="21">
        <f>VLOOKUP(B115,S!$A:$D,4,FALSE)</f>
        <v>441.46</v>
      </c>
      <c r="M115" s="6" t="str">
        <f>IF(ROUND((L115-I115),2)=0,"OK, confere com a tabela.",IF(ROUND((L115-I115),2)&lt;0,"ACIMA ("&amp;TEXT(ROUND(I115*100/L115,4),"0,0000")&amp;" %) da tabela.","ABAIXO ("&amp;TEXT(ROUND(I115*100/L115,4),"0,0000")&amp;" %) da tabela."))</f>
        <v>ABAIXO (93,3425 %) da tabela.</v>
      </c>
    </row>
    <row r="116" spans="1:13" ht="30" customHeight="1" x14ac:dyDescent="0.25">
      <c r="A116" s="16" t="s">
        <v>306</v>
      </c>
      <c r="B116" s="20">
        <v>367</v>
      </c>
      <c r="C116" s="77" t="str">
        <f>VLOOKUP(B116,IF(A116="COMPOSICAO",S!$A:$D,I!$A:$D),2,FALSE)</f>
        <v>AREIA GROSSA - POSTO JAZIDA/FORNECEDOR (RETIRADO NA JAZIDA, SEM TRANSPORTE)</v>
      </c>
      <c r="D116" s="77"/>
      <c r="E116" s="77"/>
      <c r="F116" s="77"/>
      <c r="G116" s="16" t="str">
        <f>VLOOKUP(B116,IF(A116="COMPOSICAO",S!$A:$D,I!$A:$D),3,FALSE)</f>
        <v>M3</v>
      </c>
      <c r="H116" s="30">
        <v>0.91300000000000003</v>
      </c>
      <c r="I116" s="17">
        <f>IF(A116="COMPOSICAO",VLOOKUP("TOTAL - "&amp;B116,COMPOSICAO_AUX_4!$A:$J,10,FALSE),VLOOKUP(B116,I!$A:$D,4,FALSE))</f>
        <v>53.34</v>
      </c>
      <c r="J116" s="80">
        <f t="shared" ref="J116:J121" si="4">TRUNC(H116*I116,2)</f>
        <v>48.69</v>
      </c>
      <c r="K116" s="81"/>
    </row>
    <row r="117" spans="1:13" ht="15" customHeight="1" x14ac:dyDescent="0.25">
      <c r="A117" s="16" t="s">
        <v>306</v>
      </c>
      <c r="B117" s="20">
        <v>1379</v>
      </c>
      <c r="C117" s="77" t="str">
        <f>VLOOKUP(B117,IF(A117="COMPOSICAO",S!$A:$D,I!$A:$D),2,FALSE)</f>
        <v>CIMENTO PORTLAND COMPOSTO CP II-32</v>
      </c>
      <c r="D117" s="77"/>
      <c r="E117" s="77"/>
      <c r="F117" s="77"/>
      <c r="G117" s="16" t="str">
        <f>VLOOKUP(B117,IF(A117="COMPOSICAO",S!$A:$D,I!$A:$D),3,FALSE)</f>
        <v>KG</v>
      </c>
      <c r="H117" s="17">
        <v>293</v>
      </c>
      <c r="I117" s="17">
        <f>IF(A117="COMPOSICAO",VLOOKUP("TOTAL - "&amp;B117,COMPOSICAO_AUX_4!$A:$J,10,FALSE),VLOOKUP(B117,I!$A:$D,4,FALSE))</f>
        <v>0.7</v>
      </c>
      <c r="J117" s="80">
        <f t="shared" si="4"/>
        <v>205.1</v>
      </c>
      <c r="K117" s="81"/>
    </row>
    <row r="118" spans="1:13" ht="30" customHeight="1" x14ac:dyDescent="0.25">
      <c r="A118" s="16" t="s">
        <v>306</v>
      </c>
      <c r="B118" s="20">
        <v>4718</v>
      </c>
      <c r="C118" s="77" t="str">
        <f>VLOOKUP(B118,IF(A118="COMPOSICAO",S!$A:$D,I!$A:$D),2,FALSE)</f>
        <v>PEDRA BRITADA N. 2 (19 A 38 MM) POSTO PEDREIRA/FORNECEDOR, SEM FRETE</v>
      </c>
      <c r="D118" s="77"/>
      <c r="E118" s="77"/>
      <c r="F118" s="77"/>
      <c r="G118" s="16" t="str">
        <f>VLOOKUP(B118,IF(A118="COMPOSICAO",S!$A:$D,I!$A:$D),3,FALSE)</f>
        <v>M3</v>
      </c>
      <c r="H118" s="30">
        <v>0.627</v>
      </c>
      <c r="I118" s="17">
        <f>IF(A118="COMPOSICAO",VLOOKUP("TOTAL - "&amp;B118,COMPOSICAO_AUX_4!$A:$J,10,FALSE),VLOOKUP(B118,I!$A:$D,4,FALSE))</f>
        <v>92.5</v>
      </c>
      <c r="J118" s="80">
        <f t="shared" si="4"/>
        <v>57.99</v>
      </c>
      <c r="K118" s="81"/>
    </row>
    <row r="119" spans="1:13" ht="30" customHeight="1" x14ac:dyDescent="0.25">
      <c r="A119" s="16" t="s">
        <v>306</v>
      </c>
      <c r="B119" s="20">
        <v>4721</v>
      </c>
      <c r="C119" s="77" t="str">
        <f>VLOOKUP(B119,IF(A119="COMPOSICAO",S!$A:$D,I!$A:$D),2,FALSE)</f>
        <v>PEDRA BRITADA N. 1 (9,5 a 19 MM) POSTO PEDREIRA/FORNECEDOR, SEM FRETE</v>
      </c>
      <c r="D119" s="77"/>
      <c r="E119" s="77"/>
      <c r="F119" s="77"/>
      <c r="G119" s="16" t="str">
        <f>VLOOKUP(B119,IF(A119="COMPOSICAO",S!$A:$D,I!$A:$D),3,FALSE)</f>
        <v>M3</v>
      </c>
      <c r="H119" s="30">
        <v>0.20899999999999999</v>
      </c>
      <c r="I119" s="17">
        <f>IF(A119="COMPOSICAO",VLOOKUP("TOTAL - "&amp;B119,COMPOSICAO_AUX_4!$A:$J,10,FALSE),VLOOKUP(B119,I!$A:$D,4,FALSE))</f>
        <v>92.01</v>
      </c>
      <c r="J119" s="80">
        <f t="shared" si="4"/>
        <v>19.23</v>
      </c>
      <c r="K119" s="81"/>
    </row>
    <row r="120" spans="1:13" ht="15" customHeight="1" x14ac:dyDescent="0.25">
      <c r="A120" s="16" t="s">
        <v>306</v>
      </c>
      <c r="B120" s="20">
        <v>6111</v>
      </c>
      <c r="C120" s="77" t="str">
        <f>VLOOKUP(B120,IF(A120="COMPOSICAO",S!$A:$D,I!$A:$D),2,FALSE)</f>
        <v>SERVENTE DE OBRAS</v>
      </c>
      <c r="D120" s="77"/>
      <c r="E120" s="77"/>
      <c r="F120" s="77"/>
      <c r="G120" s="16" t="str">
        <f>VLOOKUP(B120,IF(A120="COMPOSICAO",S!$A:$D,I!$A:$D),3,FALSE)</f>
        <v>H</v>
      </c>
      <c r="H120" s="17">
        <v>6</v>
      </c>
      <c r="I120" s="17">
        <f>IF(A120="COMPOSICAO",VLOOKUP("TOTAL - "&amp;B120,COMPOSICAO_AUX_4!$A:$J,10,FALSE),VLOOKUP(B120,I!$A:$D,4,FALSE))</f>
        <v>10.6</v>
      </c>
      <c r="J120" s="80">
        <f t="shared" si="4"/>
        <v>63.6</v>
      </c>
      <c r="K120" s="81"/>
    </row>
    <row r="121" spans="1:13" ht="15" customHeight="1" x14ac:dyDescent="0.25">
      <c r="A121" s="16" t="s">
        <v>302</v>
      </c>
      <c r="B121" s="16" t="s">
        <v>319</v>
      </c>
      <c r="C121" s="77" t="str">
        <f>VLOOKUP(B121,IF(A121="COMPOSICAO",S!$A:$D,I!$A:$D),2,FALSE)</f>
        <v>ENCARGOS COMPLEMENTARES - SERVENTE</v>
      </c>
      <c r="D121" s="77"/>
      <c r="E121" s="77"/>
      <c r="F121" s="77"/>
      <c r="G121" s="16" t="str">
        <f>VLOOKUP(B121,IF(A121="COMPOSICAO",S!$A:$D,I!$A:$D),3,FALSE)</f>
        <v>H</v>
      </c>
      <c r="H121" s="17">
        <v>6</v>
      </c>
      <c r="I121" s="17">
        <f>IF(A121="COMPOSICAO",VLOOKUP("TOTAL - "&amp;B121,COMPOSICAO_AUX_4!$A:$J,10,FALSE),VLOOKUP(B121,I!$A:$D,4,FALSE))</f>
        <v>2.9100000000000006</v>
      </c>
      <c r="J121" s="80">
        <f t="shared" si="4"/>
        <v>17.46</v>
      </c>
      <c r="K121" s="81"/>
    </row>
    <row r="122" spans="1:13" ht="15" customHeight="1" x14ac:dyDescent="0.25">
      <c r="A122" s="23" t="s">
        <v>808</v>
      </c>
      <c r="B122" s="24"/>
      <c r="C122" s="24"/>
      <c r="D122" s="24"/>
      <c r="E122" s="24"/>
      <c r="F122" s="24"/>
      <c r="G122" s="25"/>
      <c r="H122" s="26"/>
      <c r="I122" s="27"/>
      <c r="J122" s="80">
        <f>SUM(J115:K121)</f>
        <v>412.07</v>
      </c>
      <c r="K122" s="81"/>
    </row>
    <row r="123" spans="1:13" ht="15" customHeight="1" x14ac:dyDescent="0.25">
      <c r="A123" s="3"/>
      <c r="B123" s="3"/>
      <c r="C123" s="3"/>
      <c r="D123" s="3"/>
      <c r="E123" s="3"/>
      <c r="F123" s="3"/>
      <c r="G123" s="3"/>
      <c r="H123" s="3"/>
      <c r="I123" s="3"/>
      <c r="J123" s="3"/>
      <c r="K123" s="3"/>
    </row>
    <row r="124" spans="1:13" ht="15" customHeight="1" x14ac:dyDescent="0.25">
      <c r="A124" s="10" t="s">
        <v>295</v>
      </c>
      <c r="B124" s="10" t="s">
        <v>31</v>
      </c>
      <c r="C124" s="82" t="s">
        <v>7</v>
      </c>
      <c r="D124" s="83"/>
      <c r="E124" s="83"/>
      <c r="F124" s="83"/>
      <c r="G124" s="6" t="s">
        <v>32</v>
      </c>
      <c r="H124" s="6" t="s">
        <v>296</v>
      </c>
      <c r="I124" s="6" t="s">
        <v>297</v>
      </c>
      <c r="J124" s="57" t="s">
        <v>9</v>
      </c>
      <c r="K124" s="58"/>
    </row>
    <row r="125" spans="1:13" ht="45" customHeight="1" x14ac:dyDescent="0.25">
      <c r="A125" s="6" t="s">
        <v>11</v>
      </c>
      <c r="B125" s="6" t="s">
        <v>669</v>
      </c>
      <c r="C125" s="91" t="str">
        <f>VLOOKUP(B125,S!$A:$D,2,FALSE)</f>
        <v>LANÇAMENTO DE CONCRETO SIMPLES FABRICADO NA OBRA, INCLUSIVE ADENSAMENTO E ACABAMENTO EM PEÇAS DA SUPERESTRUTURA</v>
      </c>
      <c r="D125" s="91"/>
      <c r="E125" s="91"/>
      <c r="F125" s="92"/>
      <c r="G125" s="6" t="str">
        <f>VLOOKUP(B125,S!$A:$D,3,FALSE)</f>
        <v>M3</v>
      </c>
      <c r="H125" s="21"/>
      <c r="I125" s="21">
        <f>J134</f>
        <v>37.820000000000007</v>
      </c>
      <c r="J125" s="76"/>
      <c r="K125" s="72"/>
      <c r="L125" s="21">
        <f>VLOOKUP(B125,S!$A:$D,4,FALSE)</f>
        <v>37.11</v>
      </c>
      <c r="M125" s="6" t="str">
        <f>IF(ROUND((L125-I125),2)=0,"OK, confere com a tabela.",IF(ROUND((L125-I125),2)&lt;0,"ACIMA ("&amp;TEXT(ROUND(I125*100/L125,4),"0,0000")&amp;" %) da tabela.","ABAIXO ("&amp;TEXT(ROUND(I125*100/L125,4),"0,0000")&amp;" %) da tabela."))</f>
        <v>ACIMA (101,9132 %) da tabela.</v>
      </c>
    </row>
    <row r="126" spans="1:13" ht="15" customHeight="1" x14ac:dyDescent="0.25">
      <c r="A126" s="16" t="s">
        <v>306</v>
      </c>
      <c r="B126" s="20">
        <v>378</v>
      </c>
      <c r="C126" s="77" t="str">
        <f>VLOOKUP(B126,IF(A126="COMPOSICAO",S!$A:$D,I!$A:$D),2,FALSE)</f>
        <v>ARMADOR</v>
      </c>
      <c r="D126" s="77"/>
      <c r="E126" s="77"/>
      <c r="F126" s="77"/>
      <c r="G126" s="16" t="str">
        <f>VLOOKUP(B126,IF(A126="COMPOSICAO",S!$A:$D,I!$A:$D),3,FALSE)</f>
        <v>H</v>
      </c>
      <c r="H126" s="17">
        <v>0.18</v>
      </c>
      <c r="I126" s="17">
        <f>IF(A126="COMPOSICAO",VLOOKUP("TOTAL - "&amp;B126,COMPOSICAO_AUX_4!$A:$J,10,FALSE),VLOOKUP(B126,I!$A:$D,4,FALSE))</f>
        <v>14.93</v>
      </c>
      <c r="J126" s="80">
        <f t="shared" ref="J126:J133" si="5">TRUNC(H126*I126,2)</f>
        <v>2.68</v>
      </c>
      <c r="K126" s="81"/>
    </row>
    <row r="127" spans="1:13" ht="15" customHeight="1" x14ac:dyDescent="0.25">
      <c r="A127" s="16" t="s">
        <v>306</v>
      </c>
      <c r="B127" s="20">
        <v>1213</v>
      </c>
      <c r="C127" s="77" t="str">
        <f>VLOOKUP(B127,IF(A127="COMPOSICAO",S!$A:$D,I!$A:$D),2,FALSE)</f>
        <v>CARPINTEIRO DE FORMAS</v>
      </c>
      <c r="D127" s="77"/>
      <c r="E127" s="77"/>
      <c r="F127" s="77"/>
      <c r="G127" s="16" t="str">
        <f>VLOOKUP(B127,IF(A127="COMPOSICAO",S!$A:$D,I!$A:$D),3,FALSE)</f>
        <v>H</v>
      </c>
      <c r="H127" s="17">
        <v>0.36</v>
      </c>
      <c r="I127" s="17">
        <f>IF(A127="COMPOSICAO",VLOOKUP("TOTAL - "&amp;B127,COMPOSICAO_AUX_4!$A:$J,10,FALSE),VLOOKUP(B127,I!$A:$D,4,FALSE))</f>
        <v>14.93</v>
      </c>
      <c r="J127" s="80">
        <f t="shared" si="5"/>
        <v>5.37</v>
      </c>
      <c r="K127" s="81"/>
    </row>
    <row r="128" spans="1:13" ht="15" customHeight="1" x14ac:dyDescent="0.25">
      <c r="A128" s="16" t="s">
        <v>306</v>
      </c>
      <c r="B128" s="20">
        <v>4750</v>
      </c>
      <c r="C128" s="77" t="str">
        <f>VLOOKUP(B128,IF(A128="COMPOSICAO",S!$A:$D,I!$A:$D),2,FALSE)</f>
        <v>PEDREIRO</v>
      </c>
      <c r="D128" s="77"/>
      <c r="E128" s="77"/>
      <c r="F128" s="77"/>
      <c r="G128" s="16" t="str">
        <f>VLOOKUP(B128,IF(A128="COMPOSICAO",S!$A:$D,I!$A:$D),3,FALSE)</f>
        <v>H</v>
      </c>
      <c r="H128" s="17">
        <v>0.36</v>
      </c>
      <c r="I128" s="17">
        <f>IF(A128="COMPOSICAO",VLOOKUP("TOTAL - "&amp;B128,COMPOSICAO_AUX_4!$A:$J,10,FALSE),VLOOKUP(B128,I!$A:$D,4,FALSE))</f>
        <v>14.93</v>
      </c>
      <c r="J128" s="80">
        <f t="shared" si="5"/>
        <v>5.37</v>
      </c>
      <c r="K128" s="81"/>
    </row>
    <row r="129" spans="1:13" ht="15" customHeight="1" x14ac:dyDescent="0.25">
      <c r="A129" s="16" t="s">
        <v>306</v>
      </c>
      <c r="B129" s="20">
        <v>6111</v>
      </c>
      <c r="C129" s="77" t="str">
        <f>VLOOKUP(B129,IF(A129="COMPOSICAO",S!$A:$D,I!$A:$D),2,FALSE)</f>
        <v>SERVENTE DE OBRAS</v>
      </c>
      <c r="D129" s="77"/>
      <c r="E129" s="77"/>
      <c r="F129" s="77"/>
      <c r="G129" s="16" t="str">
        <f>VLOOKUP(B129,IF(A129="COMPOSICAO",S!$A:$D,I!$A:$D),3,FALSE)</f>
        <v>H</v>
      </c>
      <c r="H129" s="17">
        <v>1.62</v>
      </c>
      <c r="I129" s="17">
        <f>IF(A129="COMPOSICAO",VLOOKUP("TOTAL - "&amp;B129,COMPOSICAO_AUX_4!$A:$J,10,FALSE),VLOOKUP(B129,I!$A:$D,4,FALSE))</f>
        <v>10.6</v>
      </c>
      <c r="J129" s="80">
        <f t="shared" si="5"/>
        <v>17.170000000000002</v>
      </c>
      <c r="K129" s="81"/>
    </row>
    <row r="130" spans="1:13" ht="15" customHeight="1" x14ac:dyDescent="0.25">
      <c r="A130" s="16" t="s">
        <v>302</v>
      </c>
      <c r="B130" s="16" t="s">
        <v>319</v>
      </c>
      <c r="C130" s="77" t="str">
        <f>VLOOKUP(B130,IF(A130="COMPOSICAO",S!$A:$D,I!$A:$D),2,FALSE)</f>
        <v>ENCARGOS COMPLEMENTARES - SERVENTE</v>
      </c>
      <c r="D130" s="77"/>
      <c r="E130" s="77"/>
      <c r="F130" s="77"/>
      <c r="G130" s="16" t="str">
        <f>VLOOKUP(B130,IF(A130="COMPOSICAO",S!$A:$D,I!$A:$D),3,FALSE)</f>
        <v>H</v>
      </c>
      <c r="H130" s="17">
        <v>1.62</v>
      </c>
      <c r="I130" s="17">
        <f>IF(A130="COMPOSICAO",VLOOKUP("TOTAL - "&amp;B130,COMPOSICAO_AUX_4!$A:$J,10,FALSE),VLOOKUP(B130,I!$A:$D,4,FALSE))</f>
        <v>2.9100000000000006</v>
      </c>
      <c r="J130" s="80">
        <f t="shared" si="5"/>
        <v>4.71</v>
      </c>
      <c r="K130" s="81"/>
    </row>
    <row r="131" spans="1:13" ht="15" customHeight="1" x14ac:dyDescent="0.25">
      <c r="A131" s="16" t="s">
        <v>302</v>
      </c>
      <c r="B131" s="16" t="s">
        <v>383</v>
      </c>
      <c r="C131" s="77" t="str">
        <f>VLOOKUP(B131,IF(A131="COMPOSICAO",S!$A:$D,I!$A:$D),2,FALSE)</f>
        <v>ENCARGOS COMPLEMENTARES - PEDREIRO</v>
      </c>
      <c r="D131" s="77"/>
      <c r="E131" s="77"/>
      <c r="F131" s="77"/>
      <c r="G131" s="16" t="str">
        <f>VLOOKUP(B131,IF(A131="COMPOSICAO",S!$A:$D,I!$A:$D),3,FALSE)</f>
        <v>H</v>
      </c>
      <c r="H131" s="17">
        <v>0.36</v>
      </c>
      <c r="I131" s="17">
        <f>IF(A131="COMPOSICAO",VLOOKUP("TOTAL - "&amp;B131,COMPOSICAO_AUX_4!$A:$J,10,FALSE),VLOOKUP(B131,I!$A:$D,4,FALSE))</f>
        <v>2.8000000000000003</v>
      </c>
      <c r="J131" s="80">
        <f t="shared" si="5"/>
        <v>1</v>
      </c>
      <c r="K131" s="81"/>
    </row>
    <row r="132" spans="1:13" ht="15" customHeight="1" x14ac:dyDescent="0.25">
      <c r="A132" s="16" t="s">
        <v>302</v>
      </c>
      <c r="B132" s="16" t="s">
        <v>666</v>
      </c>
      <c r="C132" s="77" t="str">
        <f>VLOOKUP(B132,IF(A132="COMPOSICAO",S!$A:$D,I!$A:$D),2,FALSE)</f>
        <v>ENCARGOS COMPLEMENTARES - CARPINTEIRO</v>
      </c>
      <c r="D132" s="77"/>
      <c r="E132" s="77"/>
      <c r="F132" s="77"/>
      <c r="G132" s="16" t="str">
        <f>VLOOKUP(B132,IF(A132="COMPOSICAO",S!$A:$D,I!$A:$D),3,FALSE)</f>
        <v>H</v>
      </c>
      <c r="H132" s="17">
        <v>0.36</v>
      </c>
      <c r="I132" s="17">
        <f>IF(A132="COMPOSICAO",VLOOKUP("TOTAL - "&amp;B132,COMPOSICAO_AUX_4!$A:$J,10,FALSE),VLOOKUP(B132,I!$A:$D,4,FALSE))</f>
        <v>2.8400000000000003</v>
      </c>
      <c r="J132" s="80">
        <f t="shared" si="5"/>
        <v>1.02</v>
      </c>
      <c r="K132" s="81"/>
    </row>
    <row r="133" spans="1:13" ht="15" customHeight="1" x14ac:dyDescent="0.25">
      <c r="A133" s="16" t="s">
        <v>302</v>
      </c>
      <c r="B133" s="16" t="s">
        <v>674</v>
      </c>
      <c r="C133" s="77" t="str">
        <f>VLOOKUP(B133,IF(A133="COMPOSICAO",S!$A:$D,I!$A:$D),2,FALSE)</f>
        <v>ENCARGOS COMPLEMENTARES - ARMADOR</v>
      </c>
      <c r="D133" s="77"/>
      <c r="E133" s="77"/>
      <c r="F133" s="77"/>
      <c r="G133" s="16" t="str">
        <f>VLOOKUP(B133,IF(A133="COMPOSICAO",S!$A:$D,I!$A:$D),3,FALSE)</f>
        <v>H</v>
      </c>
      <c r="H133" s="17">
        <v>0.18</v>
      </c>
      <c r="I133" s="17">
        <f>IF(A133="COMPOSICAO",VLOOKUP("TOTAL - "&amp;B133,COMPOSICAO_AUX_4!$A:$J,10,FALSE),VLOOKUP(B133,I!$A:$D,4,FALSE))</f>
        <v>2.7800000000000002</v>
      </c>
      <c r="J133" s="80">
        <f t="shared" si="5"/>
        <v>0.5</v>
      </c>
      <c r="K133" s="81"/>
    </row>
    <row r="134" spans="1:13" ht="15" customHeight="1" x14ac:dyDescent="0.25">
      <c r="A134" s="23" t="s">
        <v>807</v>
      </c>
      <c r="B134" s="24"/>
      <c r="C134" s="24"/>
      <c r="D134" s="24"/>
      <c r="E134" s="24"/>
      <c r="F134" s="24"/>
      <c r="G134" s="25"/>
      <c r="H134" s="26"/>
      <c r="I134" s="27"/>
      <c r="J134" s="80">
        <f>SUM(J125:K133)</f>
        <v>37.820000000000007</v>
      </c>
      <c r="K134" s="81"/>
    </row>
    <row r="135" spans="1:13" ht="15" customHeight="1" x14ac:dyDescent="0.25">
      <c r="A135" s="3"/>
      <c r="B135" s="3"/>
      <c r="C135" s="3"/>
      <c r="D135" s="3"/>
      <c r="E135" s="3"/>
      <c r="F135" s="3"/>
      <c r="G135" s="3"/>
      <c r="H135" s="3"/>
      <c r="I135" s="3"/>
      <c r="J135" s="3"/>
      <c r="K135" s="3"/>
    </row>
    <row r="136" spans="1:13" ht="15" customHeight="1" x14ac:dyDescent="0.25">
      <c r="A136" s="10" t="s">
        <v>295</v>
      </c>
      <c r="B136" s="10" t="s">
        <v>31</v>
      </c>
      <c r="C136" s="82" t="s">
        <v>7</v>
      </c>
      <c r="D136" s="83"/>
      <c r="E136" s="83"/>
      <c r="F136" s="83"/>
      <c r="G136" s="6" t="s">
        <v>32</v>
      </c>
      <c r="H136" s="6" t="s">
        <v>296</v>
      </c>
      <c r="I136" s="6" t="s">
        <v>297</v>
      </c>
      <c r="J136" s="57" t="s">
        <v>9</v>
      </c>
      <c r="K136" s="58"/>
    </row>
    <row r="137" spans="1:13" ht="75" customHeight="1" x14ac:dyDescent="0.25">
      <c r="A137" s="6" t="s">
        <v>11</v>
      </c>
      <c r="B137" s="6" t="s">
        <v>677</v>
      </c>
      <c r="C137" s="91" t="str">
        <f>VLOOKUP(B137,S!$A:$D,2,FALSE)</f>
        <v>ARGAMASSA EM VOLUME - CIMENTO, CAL E AREIA TRAÇO T-5 (1:2:8) - 1 SACO CIMENTO 50 KG / 2 SACOS CAL 20 KG / 8 PADIOLAS DE AREIA DIM 0.35 X 0.45 X 0.13 M - CONFECÇÃO MECÂNICA E TRANSPORTE</v>
      </c>
      <c r="D137" s="91"/>
      <c r="E137" s="91"/>
      <c r="F137" s="92"/>
      <c r="G137" s="6" t="str">
        <f>VLOOKUP(B137,S!$A:$D,3,FALSE)</f>
        <v>M3</v>
      </c>
      <c r="H137" s="21"/>
      <c r="I137" s="21">
        <f>J143</f>
        <v>431.93999999999994</v>
      </c>
      <c r="J137" s="76"/>
      <c r="K137" s="72"/>
      <c r="L137" s="21">
        <f>VLOOKUP(B137,S!$A:$D,4,FALSE)</f>
        <v>449.94</v>
      </c>
      <c r="M137" s="6" t="str">
        <f>IF(ROUND((L137-I137),2)=0,"OK, confere com a tabela.",IF(ROUND((L137-I137),2)&lt;0,"ACIMA ("&amp;TEXT(ROUND(I137*100/L137,4),"0,0000")&amp;" %) da tabela.","ABAIXO ("&amp;TEXT(ROUND(I137*100/L137,4),"0,0000")&amp;" %) da tabela."))</f>
        <v>ABAIXO (95,9995 %) da tabela.</v>
      </c>
    </row>
    <row r="138" spans="1:13" ht="30" customHeight="1" x14ac:dyDescent="0.25">
      <c r="A138" s="16" t="s">
        <v>306</v>
      </c>
      <c r="B138" s="20">
        <v>367</v>
      </c>
      <c r="C138" s="77" t="str">
        <f>VLOOKUP(B138,IF(A138="COMPOSICAO",S!$A:$D,I!$A:$D),2,FALSE)</f>
        <v>AREIA GROSSA - POSTO JAZIDA/FORNECEDOR (RETIRADO NA JAZIDA, SEM TRANSPORTE)</v>
      </c>
      <c r="D138" s="77"/>
      <c r="E138" s="77"/>
      <c r="F138" s="77"/>
      <c r="G138" s="16" t="str">
        <f>VLOOKUP(B138,IF(A138="COMPOSICAO",S!$A:$D,I!$A:$D),3,FALSE)</f>
        <v>M3</v>
      </c>
      <c r="H138" s="30">
        <v>1.216</v>
      </c>
      <c r="I138" s="17">
        <f>IF(A138="COMPOSICAO",VLOOKUP("TOTAL - "&amp;B138,COMPOSICAO_AUX_4!$A:$J,10,FALSE),VLOOKUP(B138,I!$A:$D,4,FALSE))</f>
        <v>53.34</v>
      </c>
      <c r="J138" s="80">
        <f>TRUNC(H138*I138,2)</f>
        <v>64.86</v>
      </c>
      <c r="K138" s="81"/>
    </row>
    <row r="139" spans="1:13" ht="15" customHeight="1" x14ac:dyDescent="0.25">
      <c r="A139" s="16" t="s">
        <v>306</v>
      </c>
      <c r="B139" s="20">
        <v>1106</v>
      </c>
      <c r="C139" s="77" t="str">
        <f>VLOOKUP(B139,IF(A139="COMPOSICAO",S!$A:$D,I!$A:$D),2,FALSE)</f>
        <v>CAL HIDRATADA CH-I PARA ARGAMASSAS</v>
      </c>
      <c r="D139" s="77"/>
      <c r="E139" s="77"/>
      <c r="F139" s="77"/>
      <c r="G139" s="16" t="str">
        <f>VLOOKUP(B139,IF(A139="COMPOSICAO",S!$A:$D,I!$A:$D),3,FALSE)</f>
        <v>KG</v>
      </c>
      <c r="H139" s="17">
        <v>182</v>
      </c>
      <c r="I139" s="17">
        <f>IF(A139="COMPOSICAO",VLOOKUP("TOTAL - "&amp;B139,COMPOSICAO_AUX_4!$A:$J,10,FALSE),VLOOKUP(B139,I!$A:$D,4,FALSE))</f>
        <v>1.02</v>
      </c>
      <c r="J139" s="80">
        <f>TRUNC(H139*I139,2)</f>
        <v>185.64</v>
      </c>
      <c r="K139" s="81"/>
    </row>
    <row r="140" spans="1:13" ht="15" customHeight="1" x14ac:dyDescent="0.25">
      <c r="A140" s="16" t="s">
        <v>306</v>
      </c>
      <c r="B140" s="20">
        <v>1379</v>
      </c>
      <c r="C140" s="77" t="str">
        <f>VLOOKUP(B140,IF(A140="COMPOSICAO",S!$A:$D,I!$A:$D),2,FALSE)</f>
        <v>CIMENTO PORTLAND COMPOSTO CP II-32</v>
      </c>
      <c r="D140" s="77"/>
      <c r="E140" s="77"/>
      <c r="F140" s="77"/>
      <c r="G140" s="16" t="str">
        <f>VLOOKUP(B140,IF(A140="COMPOSICAO",S!$A:$D,I!$A:$D),3,FALSE)</f>
        <v>KG</v>
      </c>
      <c r="H140" s="17">
        <v>182</v>
      </c>
      <c r="I140" s="17">
        <f>IF(A140="COMPOSICAO",VLOOKUP("TOTAL - "&amp;B140,COMPOSICAO_AUX_4!$A:$J,10,FALSE),VLOOKUP(B140,I!$A:$D,4,FALSE))</f>
        <v>0.7</v>
      </c>
      <c r="J140" s="80">
        <f>TRUNC(H140*I140,2)</f>
        <v>127.4</v>
      </c>
      <c r="K140" s="81"/>
    </row>
    <row r="141" spans="1:13" ht="15" customHeight="1" x14ac:dyDescent="0.25">
      <c r="A141" s="16" t="s">
        <v>306</v>
      </c>
      <c r="B141" s="20">
        <v>6111</v>
      </c>
      <c r="C141" s="77" t="str">
        <f>VLOOKUP(B141,IF(A141="COMPOSICAO",S!$A:$D,I!$A:$D),2,FALSE)</f>
        <v>SERVENTE DE OBRAS</v>
      </c>
      <c r="D141" s="77"/>
      <c r="E141" s="77"/>
      <c r="F141" s="77"/>
      <c r="G141" s="16" t="str">
        <f>VLOOKUP(B141,IF(A141="COMPOSICAO",S!$A:$D,I!$A:$D),3,FALSE)</f>
        <v>H</v>
      </c>
      <c r="H141" s="17">
        <v>4</v>
      </c>
      <c r="I141" s="17">
        <f>IF(A141="COMPOSICAO",VLOOKUP("TOTAL - "&amp;B141,COMPOSICAO_AUX_4!$A:$J,10,FALSE),VLOOKUP(B141,I!$A:$D,4,FALSE))</f>
        <v>10.6</v>
      </c>
      <c r="J141" s="80">
        <f>TRUNC(H141*I141,2)</f>
        <v>42.4</v>
      </c>
      <c r="K141" s="81"/>
    </row>
    <row r="142" spans="1:13" ht="15" customHeight="1" x14ac:dyDescent="0.25">
      <c r="A142" s="16" t="s">
        <v>302</v>
      </c>
      <c r="B142" s="16" t="s">
        <v>319</v>
      </c>
      <c r="C142" s="77" t="str">
        <f>VLOOKUP(B142,IF(A142="COMPOSICAO",S!$A:$D,I!$A:$D),2,FALSE)</f>
        <v>ENCARGOS COMPLEMENTARES - SERVENTE</v>
      </c>
      <c r="D142" s="77"/>
      <c r="E142" s="77"/>
      <c r="F142" s="77"/>
      <c r="G142" s="16" t="str">
        <f>VLOOKUP(B142,IF(A142="COMPOSICAO",S!$A:$D,I!$A:$D),3,FALSE)</f>
        <v>H</v>
      </c>
      <c r="H142" s="17">
        <v>4</v>
      </c>
      <c r="I142" s="17">
        <f>IF(A142="COMPOSICAO",VLOOKUP("TOTAL - "&amp;B142,COMPOSICAO_AUX_4!$A:$J,10,FALSE),VLOOKUP(B142,I!$A:$D,4,FALSE))</f>
        <v>2.9100000000000006</v>
      </c>
      <c r="J142" s="80">
        <f>TRUNC(H142*I142,2)</f>
        <v>11.64</v>
      </c>
      <c r="K142" s="81"/>
    </row>
    <row r="143" spans="1:13" ht="15" customHeight="1" x14ac:dyDescent="0.25">
      <c r="A143" s="23" t="s">
        <v>812</v>
      </c>
      <c r="B143" s="24"/>
      <c r="C143" s="24"/>
      <c r="D143" s="24"/>
      <c r="E143" s="24"/>
      <c r="F143" s="24"/>
      <c r="G143" s="25"/>
      <c r="H143" s="26"/>
      <c r="I143" s="27"/>
      <c r="J143" s="80">
        <f>SUM(J137:K142)</f>
        <v>431.93999999999994</v>
      </c>
      <c r="K143" s="81"/>
    </row>
    <row r="144" spans="1:13" ht="15" customHeight="1" x14ac:dyDescent="0.25">
      <c r="A144" s="3"/>
      <c r="B144" s="3"/>
      <c r="C144" s="3"/>
      <c r="D144" s="3"/>
      <c r="E144" s="3"/>
      <c r="F144" s="3"/>
      <c r="G144" s="3"/>
      <c r="H144" s="3"/>
      <c r="I144" s="3"/>
      <c r="J144" s="3"/>
      <c r="K144" s="3"/>
    </row>
    <row r="145" spans="1:13" ht="15" customHeight="1" x14ac:dyDescent="0.25">
      <c r="A145" s="10" t="s">
        <v>295</v>
      </c>
      <c r="B145" s="10" t="s">
        <v>31</v>
      </c>
      <c r="C145" s="82" t="s">
        <v>7</v>
      </c>
      <c r="D145" s="83"/>
      <c r="E145" s="83"/>
      <c r="F145" s="83"/>
      <c r="G145" s="6" t="s">
        <v>32</v>
      </c>
      <c r="H145" s="6" t="s">
        <v>296</v>
      </c>
      <c r="I145" s="6" t="s">
        <v>297</v>
      </c>
      <c r="J145" s="57" t="s">
        <v>9</v>
      </c>
      <c r="K145" s="58"/>
    </row>
    <row r="146" spans="1:13" ht="15" customHeight="1" x14ac:dyDescent="0.25">
      <c r="A146" s="6" t="s">
        <v>11</v>
      </c>
      <c r="B146" s="6" t="s">
        <v>383</v>
      </c>
      <c r="C146" s="91" t="str">
        <f>VLOOKUP(B146,S!$A:$D,2,FALSE)</f>
        <v>ENCARGOS COMPLEMENTARES - PEDREIRO</v>
      </c>
      <c r="D146" s="91"/>
      <c r="E146" s="91"/>
      <c r="F146" s="92"/>
      <c r="G146" s="6" t="str">
        <f>VLOOKUP(B146,S!$A:$D,3,FALSE)</f>
        <v>H</v>
      </c>
      <c r="H146" s="21"/>
      <c r="I146" s="21">
        <f>J172</f>
        <v>2.8000000000000003</v>
      </c>
      <c r="J146" s="76"/>
      <c r="K146" s="72"/>
      <c r="L146" s="21">
        <f>VLOOKUP(B146,S!$A:$D,4,FALSE)</f>
        <v>2.89</v>
      </c>
      <c r="M146" s="6" t="str">
        <f>IF(ROUND((L146-I146),2)=0,"OK, confere com a tabela.",IF(ROUND((L146-I146),2)&lt;0,"ACIMA ("&amp;TEXT(ROUND(I146*100/L146,4),"0,0000")&amp;" %) da tabela.","ABAIXO ("&amp;TEXT(ROUND(I146*100/L146,4),"0,0000")&amp;" %) da tabela."))</f>
        <v>ABAIXO (96,8858 %) da tabela.</v>
      </c>
    </row>
    <row r="147" spans="1:13" ht="15" customHeight="1" x14ac:dyDescent="0.25">
      <c r="A147" s="16" t="s">
        <v>306</v>
      </c>
      <c r="B147" s="16" t="s">
        <v>519</v>
      </c>
      <c r="C147" s="77" t="str">
        <f>VLOOKUP(B147,IF(A147="COMPOSICAO",S!$A:$D,I!$A:$D),2,FALSE)</f>
        <v>ALMOÇO (PARTICIPAÇÃO DO EMPREGADOR)</v>
      </c>
      <c r="D147" s="77"/>
      <c r="E147" s="77"/>
      <c r="F147" s="77"/>
      <c r="G147" s="16" t="str">
        <f>VLOOKUP(B147,IF(A147="COMPOSICAO",S!$A:$D,I!$A:$D),3,FALSE)</f>
        <v>UN</v>
      </c>
      <c r="H147" s="29">
        <v>0.1018</v>
      </c>
      <c r="I147" s="17">
        <f>IF(A147="COMPOSICAO",VLOOKUP("TOTAL - "&amp;B147,COMPOSICAO_AUX_4!$A:$J,10,FALSE),VLOOKUP(B147,I!$A:$D,4,FALSE))</f>
        <v>10</v>
      </c>
      <c r="J147" s="80">
        <f t="shared" ref="J147:J171" si="6">TRUNC(H147*I147,2)</f>
        <v>1.01</v>
      </c>
      <c r="K147" s="81"/>
    </row>
    <row r="148" spans="1:13" ht="15" customHeight="1" x14ac:dyDescent="0.25">
      <c r="A148" s="16" t="s">
        <v>306</v>
      </c>
      <c r="B148" s="16" t="s">
        <v>520</v>
      </c>
      <c r="C148" s="77" t="str">
        <f>VLOOKUP(B148,IF(A148="COMPOSICAO",S!$A:$D,I!$A:$D),2,FALSE)</f>
        <v>FARDAMENTO</v>
      </c>
      <c r="D148" s="77"/>
      <c r="E148" s="77"/>
      <c r="F148" s="77"/>
      <c r="G148" s="16" t="str">
        <f>VLOOKUP(B148,IF(A148="COMPOSICAO",S!$A:$D,I!$A:$D),3,FALSE)</f>
        <v>UN</v>
      </c>
      <c r="H148" s="29">
        <v>1.5E-3</v>
      </c>
      <c r="I148" s="17">
        <f>IF(A148="COMPOSICAO",VLOOKUP("TOTAL - "&amp;B148,COMPOSICAO_AUX_4!$A:$J,10,FALSE),VLOOKUP(B148,I!$A:$D,4,FALSE))</f>
        <v>78.53</v>
      </c>
      <c r="J148" s="80">
        <f t="shared" si="6"/>
        <v>0.11</v>
      </c>
      <c r="K148" s="81"/>
    </row>
    <row r="149" spans="1:13" ht="15" customHeight="1" x14ac:dyDescent="0.25">
      <c r="A149" s="16" t="s">
        <v>306</v>
      </c>
      <c r="B149" s="16" t="s">
        <v>521</v>
      </c>
      <c r="C149" s="77" t="str">
        <f>VLOOKUP(B149,IF(A149="COMPOSICAO",S!$A:$D,I!$A:$D),2,FALSE)</f>
        <v>ÓCULOS BRANCO PROTEÇÃO</v>
      </c>
      <c r="D149" s="77"/>
      <c r="E149" s="77"/>
      <c r="F149" s="77"/>
      <c r="G149" s="16" t="str">
        <f>VLOOKUP(B149,IF(A149="COMPOSICAO",S!$A:$D,I!$A:$D),3,FALSE)</f>
        <v>PR</v>
      </c>
      <c r="H149" s="29">
        <v>8.0000000000000004E-4</v>
      </c>
      <c r="I149" s="17">
        <f>IF(A149="COMPOSICAO",VLOOKUP("TOTAL - "&amp;B149,COMPOSICAO_AUX_4!$A:$J,10,FALSE),VLOOKUP(B149,I!$A:$D,4,FALSE))</f>
        <v>5.9</v>
      </c>
      <c r="J149" s="80">
        <f t="shared" si="6"/>
        <v>0</v>
      </c>
      <c r="K149" s="81"/>
    </row>
    <row r="150" spans="1:13" ht="15" customHeight="1" x14ac:dyDescent="0.25">
      <c r="A150" s="16" t="s">
        <v>306</v>
      </c>
      <c r="B150" s="16" t="s">
        <v>522</v>
      </c>
      <c r="C150" s="77" t="str">
        <f>VLOOKUP(B150,IF(A150="COMPOSICAO",S!$A:$D,I!$A:$D),2,FALSE)</f>
        <v>VALE TRANSPORTE</v>
      </c>
      <c r="D150" s="77"/>
      <c r="E150" s="77"/>
      <c r="F150" s="77"/>
      <c r="G150" s="16" t="str">
        <f>VLOOKUP(B150,IF(A150="COMPOSICAO",S!$A:$D,I!$A:$D),3,FALSE)</f>
        <v>UN</v>
      </c>
      <c r="H150" s="29">
        <v>6.54E-2</v>
      </c>
      <c r="I150" s="17">
        <f>IF(A150="COMPOSICAO",VLOOKUP("TOTAL - "&amp;B150,COMPOSICAO_AUX_4!$A:$J,10,FALSE),VLOOKUP(B150,I!$A:$D,4,FALSE))</f>
        <v>4</v>
      </c>
      <c r="J150" s="80">
        <f t="shared" si="6"/>
        <v>0.26</v>
      </c>
      <c r="K150" s="81"/>
    </row>
    <row r="151" spans="1:13" ht="30" customHeight="1" x14ac:dyDescent="0.25">
      <c r="A151" s="16" t="s">
        <v>306</v>
      </c>
      <c r="B151" s="16" t="s">
        <v>617</v>
      </c>
      <c r="C151" s="77" t="str">
        <f>VLOOKUP(B151,IF(A151="COMPOSICAO",S!$A:$D,I!$A:$D),2,FALSE)</f>
        <v>DESEMPENADEIRA DE AÇO LISA, CABO MADEIRA, REF:143, ATLAS OU SIMILAR</v>
      </c>
      <c r="D151" s="77"/>
      <c r="E151" s="77"/>
      <c r="F151" s="77"/>
      <c r="G151" s="16" t="str">
        <f>VLOOKUP(B151,IF(A151="COMPOSICAO",S!$A:$D,I!$A:$D),3,FALSE)</f>
        <v>UN</v>
      </c>
      <c r="H151" s="29">
        <v>5.0000000000000001E-4</v>
      </c>
      <c r="I151" s="17">
        <f>IF(A151="COMPOSICAO",VLOOKUP("TOTAL - "&amp;B151,COMPOSICAO_AUX_4!$A:$J,10,FALSE),VLOOKUP(B151,I!$A:$D,4,FALSE))</f>
        <v>10.8</v>
      </c>
      <c r="J151" s="80">
        <f t="shared" si="6"/>
        <v>0</v>
      </c>
      <c r="K151" s="81"/>
    </row>
    <row r="152" spans="1:13" ht="15" customHeight="1" x14ac:dyDescent="0.25">
      <c r="A152" s="16" t="s">
        <v>306</v>
      </c>
      <c r="B152" s="16" t="s">
        <v>618</v>
      </c>
      <c r="C152" s="77" t="str">
        <f>VLOOKUP(B152,IF(A152="COMPOSICAO",S!$A:$D,I!$A:$D),2,FALSE)</f>
        <v>COLHER DE PEDREIRO</v>
      </c>
      <c r="D152" s="77"/>
      <c r="E152" s="77"/>
      <c r="F152" s="77"/>
      <c r="G152" s="16" t="str">
        <f>VLOOKUP(B152,IF(A152="COMPOSICAO",S!$A:$D,I!$A:$D),3,FALSE)</f>
        <v>UN</v>
      </c>
      <c r="H152" s="29">
        <v>4.0000000000000002E-4</v>
      </c>
      <c r="I152" s="17">
        <f>IF(A152="COMPOSICAO",VLOOKUP("TOTAL - "&amp;B152,COMPOSICAO_AUX_4!$A:$J,10,FALSE),VLOOKUP(B152,I!$A:$D,4,FALSE))</f>
        <v>16.79</v>
      </c>
      <c r="J152" s="80">
        <f t="shared" si="6"/>
        <v>0</v>
      </c>
      <c r="K152" s="81"/>
    </row>
    <row r="153" spans="1:13" ht="15" customHeight="1" x14ac:dyDescent="0.25">
      <c r="A153" s="16" t="s">
        <v>306</v>
      </c>
      <c r="B153" s="16" t="s">
        <v>619</v>
      </c>
      <c r="C153" s="77" t="str">
        <f>VLOOKUP(B153,IF(A153="COMPOSICAO",S!$A:$D,I!$A:$D),2,FALSE)</f>
        <v>REGUA DE ALUMÍNIO C/ 2,00M (PARA PEDREIRO)</v>
      </c>
      <c r="D153" s="77"/>
      <c r="E153" s="77"/>
      <c r="F153" s="77"/>
      <c r="G153" s="16" t="str">
        <f>VLOOKUP(B153,IF(A153="COMPOSICAO",S!$A:$D,I!$A:$D),3,FALSE)</f>
        <v>UN</v>
      </c>
      <c r="H153" s="29">
        <v>2.0000000000000001E-4</v>
      </c>
      <c r="I153" s="17">
        <f>IF(A153="COMPOSICAO",VLOOKUP("TOTAL - "&amp;B153,COMPOSICAO_AUX_4!$A:$J,10,FALSE),VLOOKUP(B153,I!$A:$D,4,FALSE))</f>
        <v>16.7</v>
      </c>
      <c r="J153" s="80">
        <f t="shared" si="6"/>
        <v>0</v>
      </c>
      <c r="K153" s="81"/>
    </row>
    <row r="154" spans="1:13" ht="15" customHeight="1" x14ac:dyDescent="0.25">
      <c r="A154" s="16" t="s">
        <v>306</v>
      </c>
      <c r="B154" s="16" t="s">
        <v>525</v>
      </c>
      <c r="C154" s="77" t="str">
        <f>VLOOKUP(B154,IF(A154="COMPOSICAO",S!$A:$D,I!$A:$D),2,FALSE)</f>
        <v>SEGURO DE VIDA E ACIDENTE EM GRUPO</v>
      </c>
      <c r="D154" s="77"/>
      <c r="E154" s="77"/>
      <c r="F154" s="77"/>
      <c r="G154" s="16" t="str">
        <f>VLOOKUP(B154,IF(A154="COMPOSICAO",S!$A:$D,I!$A:$D),3,FALSE)</f>
        <v>UN</v>
      </c>
      <c r="H154" s="29">
        <v>4.4999999999999997E-3</v>
      </c>
      <c r="I154" s="17">
        <f>IF(A154="COMPOSICAO",VLOOKUP("TOTAL - "&amp;B154,COMPOSICAO_AUX_4!$A:$J,10,FALSE),VLOOKUP(B154,I!$A:$D,4,FALSE))</f>
        <v>12.54</v>
      </c>
      <c r="J154" s="80">
        <f t="shared" si="6"/>
        <v>0.05</v>
      </c>
      <c r="K154" s="81"/>
    </row>
    <row r="155" spans="1:13" ht="15" customHeight="1" x14ac:dyDescent="0.25">
      <c r="A155" s="16" t="s">
        <v>306</v>
      </c>
      <c r="B155" s="16" t="s">
        <v>526</v>
      </c>
      <c r="C155" s="77" t="str">
        <f>VLOOKUP(B155,IF(A155="COMPOSICAO",S!$A:$D,I!$A:$D),2,FALSE)</f>
        <v>CESTA BÁSICA</v>
      </c>
      <c r="D155" s="77"/>
      <c r="E155" s="77"/>
      <c r="F155" s="77"/>
      <c r="G155" s="16" t="str">
        <f>VLOOKUP(B155,IF(A155="COMPOSICAO",S!$A:$D,I!$A:$D),3,FALSE)</f>
        <v>UN</v>
      </c>
      <c r="H155" s="29">
        <v>4.4999999999999997E-3</v>
      </c>
      <c r="I155" s="17">
        <f>IF(A155="COMPOSICAO",VLOOKUP("TOTAL - "&amp;B155,COMPOSICAO_AUX_4!$A:$J,10,FALSE),VLOOKUP(B155,I!$A:$D,4,FALSE))</f>
        <v>140</v>
      </c>
      <c r="J155" s="80">
        <f t="shared" si="6"/>
        <v>0.63</v>
      </c>
      <c r="K155" s="81"/>
    </row>
    <row r="156" spans="1:13" ht="15" customHeight="1" x14ac:dyDescent="0.25">
      <c r="A156" s="16" t="s">
        <v>306</v>
      </c>
      <c r="B156" s="16" t="s">
        <v>527</v>
      </c>
      <c r="C156" s="77" t="str">
        <f>VLOOKUP(B156,IF(A156="COMPOSICAO",S!$A:$D,I!$A:$D),2,FALSE)</f>
        <v>EXAMES ADMISSIONAIS/DEMISSIONAIS (CHECKUP)</v>
      </c>
      <c r="D156" s="77"/>
      <c r="E156" s="77"/>
      <c r="F156" s="77"/>
      <c r="G156" s="16" t="str">
        <f>VLOOKUP(B156,IF(A156="COMPOSICAO",S!$A:$D,I!$A:$D),3,FALSE)</f>
        <v>CJ</v>
      </c>
      <c r="H156" s="29">
        <v>4.0000000000000002E-4</v>
      </c>
      <c r="I156" s="17">
        <f>IF(A156="COMPOSICAO",VLOOKUP("TOTAL - "&amp;B156,COMPOSICAO_AUX_4!$A:$J,10,FALSE),VLOOKUP(B156,I!$A:$D,4,FALSE))</f>
        <v>300</v>
      </c>
      <c r="J156" s="80">
        <f t="shared" si="6"/>
        <v>0.12</v>
      </c>
      <c r="K156" s="81"/>
    </row>
    <row r="157" spans="1:13" ht="15" customHeight="1" x14ac:dyDescent="0.25">
      <c r="A157" s="16" t="s">
        <v>306</v>
      </c>
      <c r="B157" s="16" t="s">
        <v>528</v>
      </c>
      <c r="C157" s="77" t="str">
        <f>VLOOKUP(B157,IF(A157="COMPOSICAO",S!$A:$D,I!$A:$D),2,FALSE)</f>
        <v>PROTETOR AURICULAR</v>
      </c>
      <c r="D157" s="77"/>
      <c r="E157" s="77"/>
      <c r="F157" s="77"/>
      <c r="G157" s="16" t="str">
        <f>VLOOKUP(B157,IF(A157="COMPOSICAO",S!$A:$D,I!$A:$D),3,FALSE)</f>
        <v>UN</v>
      </c>
      <c r="H157" s="29">
        <v>4.4999999999999997E-3</v>
      </c>
      <c r="I157" s="17">
        <f>IF(A157="COMPOSICAO",VLOOKUP("TOTAL - "&amp;B157,COMPOSICAO_AUX_4!$A:$J,10,FALSE),VLOOKUP(B157,I!$A:$D,4,FALSE))</f>
        <v>4.9000000000000004</v>
      </c>
      <c r="J157" s="80">
        <f t="shared" si="6"/>
        <v>0.02</v>
      </c>
      <c r="K157" s="81"/>
    </row>
    <row r="158" spans="1:13" ht="15" customHeight="1" x14ac:dyDescent="0.25">
      <c r="A158" s="16" t="s">
        <v>306</v>
      </c>
      <c r="B158" s="16" t="s">
        <v>529</v>
      </c>
      <c r="C158" s="77" t="str">
        <f>VLOOKUP(B158,IF(A158="COMPOSICAO",S!$A:$D,I!$A:$D),2,FALSE)</f>
        <v>PROTETOR SOLAR FPS 30 COM 120ML</v>
      </c>
      <c r="D158" s="77"/>
      <c r="E158" s="77"/>
      <c r="F158" s="77"/>
      <c r="G158" s="16" t="str">
        <f>VLOOKUP(B158,IF(A158="COMPOSICAO",S!$A:$D,I!$A:$D),3,FALSE)</f>
        <v>UN</v>
      </c>
      <c r="H158" s="29">
        <v>1.8E-3</v>
      </c>
      <c r="I158" s="17">
        <f>IF(A158="COMPOSICAO",VLOOKUP("TOTAL - "&amp;B158,COMPOSICAO_AUX_4!$A:$J,10,FALSE),VLOOKUP(B158,I!$A:$D,4,FALSE))</f>
        <v>35.9</v>
      </c>
      <c r="J158" s="80">
        <f t="shared" si="6"/>
        <v>0.06</v>
      </c>
      <c r="K158" s="81"/>
    </row>
    <row r="159" spans="1:13" ht="30" customHeight="1" x14ac:dyDescent="0.25">
      <c r="A159" s="16" t="s">
        <v>306</v>
      </c>
      <c r="B159" s="16" t="s">
        <v>530</v>
      </c>
      <c r="C159" s="77" t="str">
        <f>VLOOKUP(B159,IF(A159="COMPOSICAO",S!$A:$D,I!$A:$D),2,FALSE)</f>
        <v>REFEIÇÃO - CAFÉ DA MANHÃ ( CAFÉ COM LEITE E DOIS PÃES COM MANTEIGA)</v>
      </c>
      <c r="D159" s="77"/>
      <c r="E159" s="77"/>
      <c r="F159" s="77"/>
      <c r="G159" s="16" t="str">
        <f>VLOOKUP(B159,IF(A159="COMPOSICAO",S!$A:$D,I!$A:$D),3,FALSE)</f>
        <v>UN</v>
      </c>
      <c r="H159" s="29">
        <v>0.1018</v>
      </c>
      <c r="I159" s="17">
        <f>IF(A159="COMPOSICAO",VLOOKUP("TOTAL - "&amp;B159,COMPOSICAO_AUX_4!$A:$J,10,FALSE),VLOOKUP(B159,I!$A:$D,4,FALSE))</f>
        <v>4.5</v>
      </c>
      <c r="J159" s="80">
        <f t="shared" si="6"/>
        <v>0.45</v>
      </c>
      <c r="K159" s="81"/>
    </row>
    <row r="160" spans="1:13" ht="15" customHeight="1" x14ac:dyDescent="0.25">
      <c r="A160" s="16" t="s">
        <v>306</v>
      </c>
      <c r="B160" s="16" t="s">
        <v>620</v>
      </c>
      <c r="C160" s="77" t="str">
        <f>VLOOKUP(B160,IF(A160="COMPOSICAO",S!$A:$D,I!$A:$D),2,FALSE)</f>
        <v>NÍVEL DE BOLHA DE MADEIRA</v>
      </c>
      <c r="D160" s="77"/>
      <c r="E160" s="77"/>
      <c r="F160" s="77"/>
      <c r="G160" s="16" t="str">
        <f>VLOOKUP(B160,IF(A160="COMPOSICAO",S!$A:$D,I!$A:$D),3,FALSE)</f>
        <v>UN</v>
      </c>
      <c r="H160" s="29">
        <v>2.0000000000000001E-4</v>
      </c>
      <c r="I160" s="17">
        <f>IF(A160="COMPOSICAO",VLOOKUP("TOTAL - "&amp;B160,COMPOSICAO_AUX_4!$A:$J,10,FALSE),VLOOKUP(B160,I!$A:$D,4,FALSE))</f>
        <v>15.9</v>
      </c>
      <c r="J160" s="80">
        <f t="shared" si="6"/>
        <v>0</v>
      </c>
      <c r="K160" s="81"/>
    </row>
    <row r="161" spans="1:13" ht="15" customHeight="1" x14ac:dyDescent="0.25">
      <c r="A161" s="16" t="s">
        <v>306</v>
      </c>
      <c r="B161" s="16" t="s">
        <v>621</v>
      </c>
      <c r="C161" s="77" t="str">
        <f>VLOOKUP(B161,IF(A161="COMPOSICAO",S!$A:$D,I!$A:$D),2,FALSE)</f>
        <v>PRUMO DE FACE</v>
      </c>
      <c r="D161" s="77"/>
      <c r="E161" s="77"/>
      <c r="F161" s="77"/>
      <c r="G161" s="16" t="str">
        <f>VLOOKUP(B161,IF(A161="COMPOSICAO",S!$A:$D,I!$A:$D),3,FALSE)</f>
        <v>UN</v>
      </c>
      <c r="H161" s="29">
        <v>1E-4</v>
      </c>
      <c r="I161" s="17">
        <f>IF(A161="COMPOSICAO",VLOOKUP("TOTAL - "&amp;B161,COMPOSICAO_AUX_4!$A:$J,10,FALSE),VLOOKUP(B161,I!$A:$D,4,FALSE))</f>
        <v>21</v>
      </c>
      <c r="J161" s="80">
        <f t="shared" si="6"/>
        <v>0</v>
      </c>
      <c r="K161" s="81"/>
    </row>
    <row r="162" spans="1:13" ht="15" customHeight="1" x14ac:dyDescent="0.25">
      <c r="A162" s="16" t="s">
        <v>306</v>
      </c>
      <c r="B162" s="16" t="s">
        <v>622</v>
      </c>
      <c r="C162" s="77" t="str">
        <f>VLOOKUP(B162,IF(A162="COMPOSICAO",S!$A:$D,I!$A:$D),2,FALSE)</f>
        <v>MARTELO SEM UNHA</v>
      </c>
      <c r="D162" s="77"/>
      <c r="E162" s="77"/>
      <c r="F162" s="77"/>
      <c r="G162" s="16" t="str">
        <f>VLOOKUP(B162,IF(A162="COMPOSICAO",S!$A:$D,I!$A:$D),3,FALSE)</f>
        <v>UN</v>
      </c>
      <c r="H162" s="29">
        <v>1E-4</v>
      </c>
      <c r="I162" s="17">
        <f>IF(A162="COMPOSICAO",VLOOKUP("TOTAL - "&amp;B162,COMPOSICAO_AUX_4!$A:$J,10,FALSE),VLOOKUP(B162,I!$A:$D,4,FALSE))</f>
        <v>16.55</v>
      </c>
      <c r="J162" s="80">
        <f t="shared" si="6"/>
        <v>0</v>
      </c>
      <c r="K162" s="81"/>
    </row>
    <row r="163" spans="1:13" ht="15" customHeight="1" x14ac:dyDescent="0.25">
      <c r="A163" s="16" t="s">
        <v>306</v>
      </c>
      <c r="B163" s="16" t="s">
        <v>623</v>
      </c>
      <c r="C163" s="77" t="str">
        <f>VLOOKUP(B163,IF(A163="COMPOSICAO",S!$A:$D,I!$A:$D),2,FALSE)</f>
        <v>DESEMPOLADEIRA DE MADEIRA 12X22</v>
      </c>
      <c r="D163" s="77"/>
      <c r="E163" s="77"/>
      <c r="F163" s="77"/>
      <c r="G163" s="16" t="str">
        <f>VLOOKUP(B163,IF(A163="COMPOSICAO",S!$A:$D,I!$A:$D),3,FALSE)</f>
        <v>UN</v>
      </c>
      <c r="H163" s="29">
        <v>6.9999999999999999E-4</v>
      </c>
      <c r="I163" s="17">
        <f>IF(A163="COMPOSICAO",VLOOKUP("TOTAL - "&amp;B163,COMPOSICAO_AUX_4!$A:$J,10,FALSE),VLOOKUP(B163,I!$A:$D,4,FALSE))</f>
        <v>11.26</v>
      </c>
      <c r="J163" s="80">
        <f t="shared" si="6"/>
        <v>0</v>
      </c>
      <c r="K163" s="81"/>
    </row>
    <row r="164" spans="1:13" ht="15" customHeight="1" x14ac:dyDescent="0.25">
      <c r="A164" s="16" t="s">
        <v>306</v>
      </c>
      <c r="B164" s="16" t="s">
        <v>624</v>
      </c>
      <c r="C164" s="77" t="str">
        <f>VLOOKUP(B164,IF(A164="COMPOSICAO",S!$A:$D,I!$A:$D),2,FALSE)</f>
        <v>ESCALA MÉTRICA DE BAMBÚ</v>
      </c>
      <c r="D164" s="77"/>
      <c r="E164" s="77"/>
      <c r="F164" s="77"/>
      <c r="G164" s="16" t="str">
        <f>VLOOKUP(B164,IF(A164="COMPOSICAO",S!$A:$D,I!$A:$D),3,FALSE)</f>
        <v>UN</v>
      </c>
      <c r="H164" s="29">
        <v>6.9999999999999999E-4</v>
      </c>
      <c r="I164" s="17">
        <f>IF(A164="COMPOSICAO",VLOOKUP("TOTAL - "&amp;B164,COMPOSICAO_AUX_4!$A:$J,10,FALSE),VLOOKUP(B164,I!$A:$D,4,FALSE))</f>
        <v>9.0500000000000007</v>
      </c>
      <c r="J164" s="80">
        <f t="shared" si="6"/>
        <v>0</v>
      </c>
      <c r="K164" s="81"/>
    </row>
    <row r="165" spans="1:13" ht="15" customHeight="1" x14ac:dyDescent="0.25">
      <c r="A165" s="16" t="s">
        <v>306</v>
      </c>
      <c r="B165" s="16" t="s">
        <v>625</v>
      </c>
      <c r="C165" s="77" t="str">
        <f>VLOOKUP(B165,IF(A165="COMPOSICAO",S!$A:$D,I!$A:$D),2,FALSE)</f>
        <v>SERRA MÁRMORE</v>
      </c>
      <c r="D165" s="77"/>
      <c r="E165" s="77"/>
      <c r="F165" s="77"/>
      <c r="G165" s="16" t="str">
        <f>VLOOKUP(B165,IF(A165="COMPOSICAO",S!$A:$D,I!$A:$D),3,FALSE)</f>
        <v>UN</v>
      </c>
      <c r="H165" s="29">
        <v>1E-4</v>
      </c>
      <c r="I165" s="17">
        <f>IF(A165="COMPOSICAO",VLOOKUP("TOTAL - "&amp;B165,COMPOSICAO_AUX_4!$A:$J,10,FALSE),VLOOKUP(B165,I!$A:$D,4,FALSE))</f>
        <v>272.97000000000003</v>
      </c>
      <c r="J165" s="80">
        <f t="shared" si="6"/>
        <v>0.02</v>
      </c>
      <c r="K165" s="81"/>
    </row>
    <row r="166" spans="1:13" ht="15" customHeight="1" x14ac:dyDescent="0.25">
      <c r="A166" s="16" t="s">
        <v>306</v>
      </c>
      <c r="B166" s="16" t="s">
        <v>626</v>
      </c>
      <c r="C166" s="77" t="str">
        <f>VLOOKUP(B166,IF(A166="COMPOSICAO",S!$A:$D,I!$A:$D),2,FALSE)</f>
        <v>MARRETA DE 1/2 KG COM CABO</v>
      </c>
      <c r="D166" s="77"/>
      <c r="E166" s="77"/>
      <c r="F166" s="77"/>
      <c r="G166" s="16" t="str">
        <f>VLOOKUP(B166,IF(A166="COMPOSICAO",S!$A:$D,I!$A:$D),3,FALSE)</f>
        <v>UN</v>
      </c>
      <c r="H166" s="29">
        <v>2.0000000000000001E-4</v>
      </c>
      <c r="I166" s="17">
        <f>IF(A166="COMPOSICAO",VLOOKUP("TOTAL - "&amp;B166,COMPOSICAO_AUX_4!$A:$J,10,FALSE),VLOOKUP(B166,I!$A:$D,4,FALSE))</f>
        <v>13.52</v>
      </c>
      <c r="J166" s="80">
        <f t="shared" si="6"/>
        <v>0</v>
      </c>
      <c r="K166" s="81"/>
    </row>
    <row r="167" spans="1:13" ht="15" customHeight="1" x14ac:dyDescent="0.25">
      <c r="A167" s="16" t="s">
        <v>306</v>
      </c>
      <c r="B167" s="16" t="s">
        <v>627</v>
      </c>
      <c r="C167" s="77" t="str">
        <f>VLOOKUP(B167,IF(A167="COMPOSICAO",S!$A:$D,I!$A:$D),2,FALSE)</f>
        <v>MARTELO DE BORRACHA COM CABO</v>
      </c>
      <c r="D167" s="77"/>
      <c r="E167" s="77"/>
      <c r="F167" s="77"/>
      <c r="G167" s="16" t="str">
        <f>VLOOKUP(B167,IF(A167="COMPOSICAO",S!$A:$D,I!$A:$D),3,FALSE)</f>
        <v>UN</v>
      </c>
      <c r="H167" s="29">
        <v>4.0000000000000002E-4</v>
      </c>
      <c r="I167" s="17">
        <f>IF(A167="COMPOSICAO",VLOOKUP("TOTAL - "&amp;B167,COMPOSICAO_AUX_4!$A:$J,10,FALSE),VLOOKUP(B167,I!$A:$D,4,FALSE))</f>
        <v>11.5</v>
      </c>
      <c r="J167" s="80">
        <f t="shared" si="6"/>
        <v>0</v>
      </c>
      <c r="K167" s="81"/>
    </row>
    <row r="168" spans="1:13" ht="30" customHeight="1" x14ac:dyDescent="0.25">
      <c r="A168" s="16" t="s">
        <v>306</v>
      </c>
      <c r="B168" s="20">
        <v>12892</v>
      </c>
      <c r="C168" s="77" t="str">
        <f>VLOOKUP(B168,IF(A168="COMPOSICAO",S!$A:$D,I!$A:$D),2,FALSE)</f>
        <v>LUVA RASPA DE COURO, CANO CURTO (PUNHO *7* CM)</v>
      </c>
      <c r="D168" s="77"/>
      <c r="E168" s="77"/>
      <c r="F168" s="77"/>
      <c r="G168" s="16" t="str">
        <f>VLOOKUP(B168,IF(A168="COMPOSICAO",S!$A:$D,I!$A:$D),3,FALSE)</f>
        <v>PAR</v>
      </c>
      <c r="H168" s="29">
        <v>2.3E-3</v>
      </c>
      <c r="I168" s="17">
        <f>IF(A168="COMPOSICAO",VLOOKUP("TOTAL - "&amp;B168,COMPOSICAO_AUX_4!$A:$J,10,FALSE),VLOOKUP(B168,I!$A:$D,4,FALSE))</f>
        <v>12.91</v>
      </c>
      <c r="J168" s="80">
        <f t="shared" si="6"/>
        <v>0.02</v>
      </c>
      <c r="K168" s="81"/>
    </row>
    <row r="169" spans="1:13" ht="30" customHeight="1" x14ac:dyDescent="0.25">
      <c r="A169" s="16" t="s">
        <v>306</v>
      </c>
      <c r="B169" s="20">
        <v>12893</v>
      </c>
      <c r="C169" s="77" t="str">
        <f>VLOOKUP(B169,IF(A169="COMPOSICAO",S!$A:$D,I!$A:$D),2,FALSE)</f>
        <v>BOTA DE SEGURANCA COM BIQUEIRA DE ACO E COLARINHO ACOLCHOADO</v>
      </c>
      <c r="D169" s="77"/>
      <c r="E169" s="77"/>
      <c r="F169" s="77"/>
      <c r="G169" s="16" t="str">
        <f>VLOOKUP(B169,IF(A169="COMPOSICAO",S!$A:$D,I!$A:$D),3,FALSE)</f>
        <v>PAR</v>
      </c>
      <c r="H169" s="29">
        <v>8.0000000000000004E-4</v>
      </c>
      <c r="I169" s="17">
        <f>IF(A169="COMPOSICAO",VLOOKUP("TOTAL - "&amp;B169,COMPOSICAO_AUX_4!$A:$J,10,FALSE),VLOOKUP(B169,I!$A:$D,4,FALSE))</f>
        <v>68.88</v>
      </c>
      <c r="J169" s="80">
        <f t="shared" si="6"/>
        <v>0.05</v>
      </c>
      <c r="K169" s="81"/>
    </row>
    <row r="170" spans="1:13" ht="30" customHeight="1" x14ac:dyDescent="0.25">
      <c r="A170" s="16" t="s">
        <v>306</v>
      </c>
      <c r="B170" s="20">
        <v>12894</v>
      </c>
      <c r="C170" s="77" t="str">
        <f>VLOOKUP(B170,IF(A170="COMPOSICAO",S!$A:$D,I!$A:$D),2,FALSE)</f>
        <v>CAPA PARA CHUVA EM PVC COM FORRO DE POLIESTER, COM CAPUZ (AMARELA OU AZUL)</v>
      </c>
      <c r="D170" s="77"/>
      <c r="E170" s="77"/>
      <c r="F170" s="77"/>
      <c r="G170" s="16" t="str">
        <f>VLOOKUP(B170,IF(A170="COMPOSICAO",S!$A:$D,I!$A:$D),3,FALSE)</f>
        <v>UN</v>
      </c>
      <c r="H170" s="29">
        <v>2.0000000000000001E-4</v>
      </c>
      <c r="I170" s="17">
        <f>IF(A170="COMPOSICAO",VLOOKUP("TOTAL - "&amp;B170,COMPOSICAO_AUX_4!$A:$J,10,FALSE),VLOOKUP(B170,I!$A:$D,4,FALSE))</f>
        <v>18.649999999999999</v>
      </c>
      <c r="J170" s="80">
        <f t="shared" si="6"/>
        <v>0</v>
      </c>
      <c r="K170" s="81"/>
    </row>
    <row r="171" spans="1:13" ht="30" customHeight="1" x14ac:dyDescent="0.25">
      <c r="A171" s="16" t="s">
        <v>306</v>
      </c>
      <c r="B171" s="20">
        <v>12895</v>
      </c>
      <c r="C171" s="77" t="str">
        <f>VLOOKUP(B171,IF(A171="COMPOSICAO",S!$A:$D,I!$A:$D),2,FALSE)</f>
        <v>CAPACETE DE SEGURANCA ABA FRONTAL COM SUSPENSAO DE POLIETILENO, SEM JUGULAR (CLASSE B)</v>
      </c>
      <c r="D171" s="77"/>
      <c r="E171" s="77"/>
      <c r="F171" s="77"/>
      <c r="G171" s="16" t="str">
        <f>VLOOKUP(B171,IF(A171="COMPOSICAO",S!$A:$D,I!$A:$D),3,FALSE)</f>
        <v>UN</v>
      </c>
      <c r="H171" s="29">
        <v>5.9999999999999995E-4</v>
      </c>
      <c r="I171" s="17">
        <f>IF(A171="COMPOSICAO",VLOOKUP("TOTAL - "&amp;B171,COMPOSICAO_AUX_4!$A:$J,10,FALSE),VLOOKUP(B171,I!$A:$D,4,FALSE))</f>
        <v>14.35</v>
      </c>
      <c r="J171" s="80">
        <f t="shared" si="6"/>
        <v>0</v>
      </c>
      <c r="K171" s="81"/>
    </row>
    <row r="172" spans="1:13" ht="15" customHeight="1" x14ac:dyDescent="0.25">
      <c r="A172" s="23" t="s">
        <v>628</v>
      </c>
      <c r="B172" s="24"/>
      <c r="C172" s="24"/>
      <c r="D172" s="24"/>
      <c r="E172" s="24"/>
      <c r="F172" s="24"/>
      <c r="G172" s="25"/>
      <c r="H172" s="26"/>
      <c r="I172" s="27"/>
      <c r="J172" s="80">
        <f>SUM(J146:K171)</f>
        <v>2.8000000000000003</v>
      </c>
      <c r="K172" s="81"/>
    </row>
    <row r="173" spans="1:13" ht="15" customHeight="1" x14ac:dyDescent="0.25">
      <c r="A173" s="3"/>
      <c r="B173" s="3"/>
      <c r="C173" s="3"/>
      <c r="D173" s="3"/>
      <c r="E173" s="3"/>
      <c r="F173" s="3"/>
      <c r="G173" s="3"/>
      <c r="H173" s="3"/>
      <c r="I173" s="3"/>
      <c r="J173" s="3"/>
      <c r="K173" s="3"/>
    </row>
    <row r="174" spans="1:13" ht="15" customHeight="1" x14ac:dyDescent="0.25">
      <c r="A174" s="10" t="s">
        <v>295</v>
      </c>
      <c r="B174" s="10" t="s">
        <v>31</v>
      </c>
      <c r="C174" s="82" t="s">
        <v>7</v>
      </c>
      <c r="D174" s="83"/>
      <c r="E174" s="83"/>
      <c r="F174" s="83"/>
      <c r="G174" s="6" t="s">
        <v>32</v>
      </c>
      <c r="H174" s="6" t="s">
        <v>296</v>
      </c>
      <c r="I174" s="6" t="s">
        <v>297</v>
      </c>
      <c r="J174" s="57" t="s">
        <v>9</v>
      </c>
      <c r="K174" s="58"/>
    </row>
    <row r="175" spans="1:13" ht="60" customHeight="1" x14ac:dyDescent="0.25">
      <c r="A175" s="6" t="s">
        <v>11</v>
      </c>
      <c r="B175" s="6" t="s">
        <v>395</v>
      </c>
      <c r="C175" s="91" t="str">
        <f>VLOOKUP(B175,S!$A:$D,2,FALSE)</f>
        <v>ARGAMASSA CIMENTO E AREIA TRAÇO T-1 (1:3) - 1 SACO CIMENTO 50KG / 3 PADIOLAS AREIA DIM. 0.35 X 0.45 X 0.23 M - CONFECÇÃO MECÂNICA E TRANSPORTE</v>
      </c>
      <c r="D175" s="91"/>
      <c r="E175" s="91"/>
      <c r="F175" s="92"/>
      <c r="G175" s="6" t="str">
        <f>VLOOKUP(B175,S!$A:$D,3,FALSE)</f>
        <v>M3</v>
      </c>
      <c r="H175" s="21"/>
      <c r="I175" s="21">
        <f>J180</f>
        <v>428.9</v>
      </c>
      <c r="J175" s="76"/>
      <c r="K175" s="72"/>
      <c r="L175" s="21">
        <f>VLOOKUP(B175,S!$A:$D,4,FALSE)</f>
        <v>468.55</v>
      </c>
      <c r="M175" s="6" t="str">
        <f>IF(ROUND((L175-I175),2)=0,"OK, confere com a tabela.",IF(ROUND((L175-I175),2)&lt;0,"ACIMA ("&amp;TEXT(ROUND(I175*100/L175,4),"0,0000")&amp;" %) da tabela.","ABAIXO ("&amp;TEXT(ROUND(I175*100/L175,4),"0,0000")&amp;" %) da tabela."))</f>
        <v>ABAIXO (91,5377 %) da tabela.</v>
      </c>
    </row>
    <row r="176" spans="1:13" ht="30" customHeight="1" x14ac:dyDescent="0.25">
      <c r="A176" s="16" t="s">
        <v>306</v>
      </c>
      <c r="B176" s="20">
        <v>370</v>
      </c>
      <c r="C176" s="77" t="str">
        <f>VLOOKUP(B176,IF(A176="COMPOSICAO",S!$A:$D,I!$A:$D),2,FALSE)</f>
        <v>AREIA MEDIA - POSTO JAZIDA/FORNECEDOR (RETIRADO NA JAZIDA, SEM TRANSPORTE)</v>
      </c>
      <c r="D176" s="77"/>
      <c r="E176" s="77"/>
      <c r="F176" s="77"/>
      <c r="G176" s="16" t="str">
        <f>VLOOKUP(B176,IF(A176="COMPOSICAO",S!$A:$D,I!$A:$D),3,FALSE)</f>
        <v>M3</v>
      </c>
      <c r="H176" s="17">
        <v>1.08</v>
      </c>
      <c r="I176" s="17">
        <f>IF(A176="COMPOSICAO",VLOOKUP("TOTAL - "&amp;B176,COMPOSICAO_AUX_4!$A:$J,10,FALSE),VLOOKUP(B176,I!$A:$D,4,FALSE))</f>
        <v>54</v>
      </c>
      <c r="J176" s="80">
        <f>TRUNC(H176*I176,2)</f>
        <v>58.32</v>
      </c>
      <c r="K176" s="81"/>
    </row>
    <row r="177" spans="1:13" ht="15" customHeight="1" x14ac:dyDescent="0.25">
      <c r="A177" s="16" t="s">
        <v>306</v>
      </c>
      <c r="B177" s="20">
        <v>1379</v>
      </c>
      <c r="C177" s="77" t="str">
        <f>VLOOKUP(B177,IF(A177="COMPOSICAO",S!$A:$D,I!$A:$D),2,FALSE)</f>
        <v>CIMENTO PORTLAND COMPOSTO CP II-32</v>
      </c>
      <c r="D177" s="77"/>
      <c r="E177" s="77"/>
      <c r="F177" s="77"/>
      <c r="G177" s="16" t="str">
        <f>VLOOKUP(B177,IF(A177="COMPOSICAO",S!$A:$D,I!$A:$D),3,FALSE)</f>
        <v>KG</v>
      </c>
      <c r="H177" s="17">
        <v>452.2</v>
      </c>
      <c r="I177" s="17">
        <f>IF(A177="COMPOSICAO",VLOOKUP("TOTAL - "&amp;B177,COMPOSICAO_AUX_4!$A:$J,10,FALSE),VLOOKUP(B177,I!$A:$D,4,FALSE))</f>
        <v>0.7</v>
      </c>
      <c r="J177" s="80">
        <f>TRUNC(H177*I177,2)</f>
        <v>316.54000000000002</v>
      </c>
      <c r="K177" s="81"/>
    </row>
    <row r="178" spans="1:13" ht="15" customHeight="1" x14ac:dyDescent="0.25">
      <c r="A178" s="16" t="s">
        <v>306</v>
      </c>
      <c r="B178" s="20">
        <v>6111</v>
      </c>
      <c r="C178" s="77" t="str">
        <f>VLOOKUP(B178,IF(A178="COMPOSICAO",S!$A:$D,I!$A:$D),2,FALSE)</f>
        <v>SERVENTE DE OBRAS</v>
      </c>
      <c r="D178" s="77"/>
      <c r="E178" s="77"/>
      <c r="F178" s="77"/>
      <c r="G178" s="16" t="str">
        <f>VLOOKUP(B178,IF(A178="COMPOSICAO",S!$A:$D,I!$A:$D),3,FALSE)</f>
        <v>H</v>
      </c>
      <c r="H178" s="17">
        <v>4</v>
      </c>
      <c r="I178" s="17">
        <f>IF(A178="COMPOSICAO",VLOOKUP("TOTAL - "&amp;B178,COMPOSICAO_AUX_4!$A:$J,10,FALSE),VLOOKUP(B178,I!$A:$D,4,FALSE))</f>
        <v>10.6</v>
      </c>
      <c r="J178" s="80">
        <f>TRUNC(H178*I178,2)</f>
        <v>42.4</v>
      </c>
      <c r="K178" s="81"/>
    </row>
    <row r="179" spans="1:13" ht="15" customHeight="1" x14ac:dyDescent="0.25">
      <c r="A179" s="16" t="s">
        <v>302</v>
      </c>
      <c r="B179" s="16" t="s">
        <v>319</v>
      </c>
      <c r="C179" s="77" t="str">
        <f>VLOOKUP(B179,IF(A179="COMPOSICAO",S!$A:$D,I!$A:$D),2,FALSE)</f>
        <v>ENCARGOS COMPLEMENTARES - SERVENTE</v>
      </c>
      <c r="D179" s="77"/>
      <c r="E179" s="77"/>
      <c r="F179" s="77"/>
      <c r="G179" s="16" t="str">
        <f>VLOOKUP(B179,IF(A179="COMPOSICAO",S!$A:$D,I!$A:$D),3,FALSE)</f>
        <v>H</v>
      </c>
      <c r="H179" s="17">
        <v>4</v>
      </c>
      <c r="I179" s="17">
        <f>IF(A179="COMPOSICAO",VLOOKUP("TOTAL - "&amp;B179,COMPOSICAO_AUX_4!$A:$J,10,FALSE),VLOOKUP(B179,I!$A:$D,4,FALSE))</f>
        <v>2.9100000000000006</v>
      </c>
      <c r="J179" s="80">
        <f>TRUNC(H179*I179,2)</f>
        <v>11.64</v>
      </c>
      <c r="K179" s="81"/>
    </row>
    <row r="180" spans="1:13" ht="15" customHeight="1" x14ac:dyDescent="0.25">
      <c r="A180" s="23" t="s">
        <v>630</v>
      </c>
      <c r="B180" s="24"/>
      <c r="C180" s="24"/>
      <c r="D180" s="24"/>
      <c r="E180" s="24"/>
      <c r="F180" s="24"/>
      <c r="G180" s="25"/>
      <c r="H180" s="26"/>
      <c r="I180" s="27"/>
      <c r="J180" s="80">
        <f>SUM(J175:K179)</f>
        <v>428.9</v>
      </c>
      <c r="K180" s="81"/>
    </row>
    <row r="181" spans="1:13" ht="15" customHeight="1" x14ac:dyDescent="0.25">
      <c r="A181" s="3"/>
      <c r="B181" s="3"/>
      <c r="C181" s="3"/>
      <c r="D181" s="3"/>
      <c r="E181" s="3"/>
      <c r="F181" s="3"/>
      <c r="G181" s="3"/>
      <c r="H181" s="3"/>
      <c r="I181" s="3"/>
      <c r="J181" s="3"/>
      <c r="K181" s="3"/>
    </row>
    <row r="182" spans="1:13" ht="15" customHeight="1" x14ac:dyDescent="0.25">
      <c r="A182" s="10" t="s">
        <v>295</v>
      </c>
      <c r="B182" s="10" t="s">
        <v>31</v>
      </c>
      <c r="C182" s="82" t="s">
        <v>7</v>
      </c>
      <c r="D182" s="83"/>
      <c r="E182" s="83"/>
      <c r="F182" s="83"/>
      <c r="G182" s="6" t="s">
        <v>32</v>
      </c>
      <c r="H182" s="6" t="s">
        <v>296</v>
      </c>
      <c r="I182" s="6" t="s">
        <v>297</v>
      </c>
      <c r="J182" s="57" t="s">
        <v>9</v>
      </c>
      <c r="K182" s="58"/>
    </row>
    <row r="183" spans="1:13" ht="75" customHeight="1" x14ac:dyDescent="0.25">
      <c r="A183" s="6" t="s">
        <v>11</v>
      </c>
      <c r="B183" s="6" t="s">
        <v>746</v>
      </c>
      <c r="C183" s="91" t="str">
        <f>VLOOKUP(B183,S!$A:$D,2,FALSE)</f>
        <v>ARGAMASSA CIMENTO E AREIA TRAÇO T-3 (1:3), COM ADITIVO VEDACIT OU SIMILAR- 1 SACO CIMENTO 50KG / 3 PADIOLAS AREIA DIM. 0,35X0,45X0,23M / 2KG ADITIVO VEDACIT - CONFECÇÃO MECÂNICA E TRANSPORTE</v>
      </c>
      <c r="D183" s="91"/>
      <c r="E183" s="91"/>
      <c r="F183" s="92"/>
      <c r="G183" s="6" t="str">
        <f>VLOOKUP(B183,S!$A:$D,3,FALSE)</f>
        <v>M3</v>
      </c>
      <c r="H183" s="21"/>
      <c r="I183" s="21">
        <f>J189</f>
        <v>537.70000000000005</v>
      </c>
      <c r="J183" s="76"/>
      <c r="K183" s="72"/>
      <c r="L183" s="21">
        <f>VLOOKUP(B183,S!$A:$D,4,FALSE)</f>
        <v>577.35</v>
      </c>
      <c r="M183" s="6" t="str">
        <f>IF(ROUND((L183-I183),2)=0,"OK, confere com a tabela.",IF(ROUND((L183-I183),2)&lt;0,"ACIMA ("&amp;TEXT(ROUND(I183*100/L183,4),"0,0000")&amp;" %) da tabela.","ABAIXO ("&amp;TEXT(ROUND(I183*100/L183,4),"0,0000")&amp;" %) da tabela."))</f>
        <v>ABAIXO (93,1324 %) da tabela.</v>
      </c>
    </row>
    <row r="184" spans="1:13" ht="30" customHeight="1" x14ac:dyDescent="0.25">
      <c r="A184" s="16" t="s">
        <v>306</v>
      </c>
      <c r="B184" s="16" t="s">
        <v>825</v>
      </c>
      <c r="C184" s="77" t="str">
        <f>VLOOKUP(B184,IF(A184="COMPOSICAO",S!$A:$D,I!$A:$D),2,FALSE)</f>
        <v>IMPERMEABILIZANTE PARA CONCRETOS E ARGAMASSAS VEDACIT OU SIMILAR</v>
      </c>
      <c r="D184" s="77"/>
      <c r="E184" s="77"/>
      <c r="F184" s="77"/>
      <c r="G184" s="16" t="str">
        <f>VLOOKUP(B184,IF(A184="COMPOSICAO",S!$A:$D,I!$A:$D),3,FALSE)</f>
        <v>KG</v>
      </c>
      <c r="H184" s="17">
        <v>20</v>
      </c>
      <c r="I184" s="17">
        <f>IF(A184="COMPOSICAO",VLOOKUP("TOTAL - "&amp;B184,COMPOSICAO_AUX_4!$A:$J,10,FALSE),VLOOKUP(B184,I!$A:$D,4,FALSE))</f>
        <v>5.44</v>
      </c>
      <c r="J184" s="80">
        <f>TRUNC(H184*I184,2)</f>
        <v>108.8</v>
      </c>
      <c r="K184" s="81"/>
    </row>
    <row r="185" spans="1:13" ht="30" customHeight="1" x14ac:dyDescent="0.25">
      <c r="A185" s="16" t="s">
        <v>306</v>
      </c>
      <c r="B185" s="20">
        <v>370</v>
      </c>
      <c r="C185" s="77" t="str">
        <f>VLOOKUP(B185,IF(A185="COMPOSICAO",S!$A:$D,I!$A:$D),2,FALSE)</f>
        <v>AREIA MEDIA - POSTO JAZIDA/FORNECEDOR (RETIRADO NA JAZIDA, SEM TRANSPORTE)</v>
      </c>
      <c r="D185" s="77"/>
      <c r="E185" s="77"/>
      <c r="F185" s="77"/>
      <c r="G185" s="16" t="str">
        <f>VLOOKUP(B185,IF(A185="COMPOSICAO",S!$A:$D,I!$A:$D),3,FALSE)</f>
        <v>M3</v>
      </c>
      <c r="H185" s="17">
        <v>1.08</v>
      </c>
      <c r="I185" s="17">
        <f>IF(A185="COMPOSICAO",VLOOKUP("TOTAL - "&amp;B185,COMPOSICAO_AUX_4!$A:$J,10,FALSE),VLOOKUP(B185,I!$A:$D,4,FALSE))</f>
        <v>54</v>
      </c>
      <c r="J185" s="80">
        <f>TRUNC(H185*I185,2)</f>
        <v>58.32</v>
      </c>
      <c r="K185" s="81"/>
    </row>
    <row r="186" spans="1:13" ht="15" customHeight="1" x14ac:dyDescent="0.25">
      <c r="A186" s="16" t="s">
        <v>306</v>
      </c>
      <c r="B186" s="20">
        <v>1379</v>
      </c>
      <c r="C186" s="77" t="str">
        <f>VLOOKUP(B186,IF(A186="COMPOSICAO",S!$A:$D,I!$A:$D),2,FALSE)</f>
        <v>CIMENTO PORTLAND COMPOSTO CP II-32</v>
      </c>
      <c r="D186" s="77"/>
      <c r="E186" s="77"/>
      <c r="F186" s="77"/>
      <c r="G186" s="16" t="str">
        <f>VLOOKUP(B186,IF(A186="COMPOSICAO",S!$A:$D,I!$A:$D),3,FALSE)</f>
        <v>KG</v>
      </c>
      <c r="H186" s="17">
        <v>452.2</v>
      </c>
      <c r="I186" s="17">
        <f>IF(A186="COMPOSICAO",VLOOKUP("TOTAL - "&amp;B186,COMPOSICAO_AUX_4!$A:$J,10,FALSE),VLOOKUP(B186,I!$A:$D,4,FALSE))</f>
        <v>0.7</v>
      </c>
      <c r="J186" s="80">
        <f>TRUNC(H186*I186,2)</f>
        <v>316.54000000000002</v>
      </c>
      <c r="K186" s="81"/>
    </row>
    <row r="187" spans="1:13" ht="15" customHeight="1" x14ac:dyDescent="0.25">
      <c r="A187" s="16" t="s">
        <v>306</v>
      </c>
      <c r="B187" s="20">
        <v>6111</v>
      </c>
      <c r="C187" s="77" t="str">
        <f>VLOOKUP(B187,IF(A187="COMPOSICAO",S!$A:$D,I!$A:$D),2,FALSE)</f>
        <v>SERVENTE DE OBRAS</v>
      </c>
      <c r="D187" s="77"/>
      <c r="E187" s="77"/>
      <c r="F187" s="77"/>
      <c r="G187" s="16" t="str">
        <f>VLOOKUP(B187,IF(A187="COMPOSICAO",S!$A:$D,I!$A:$D),3,FALSE)</f>
        <v>H</v>
      </c>
      <c r="H187" s="17">
        <v>4</v>
      </c>
      <c r="I187" s="17">
        <f>IF(A187="COMPOSICAO",VLOOKUP("TOTAL - "&amp;B187,COMPOSICAO_AUX_4!$A:$J,10,FALSE),VLOOKUP(B187,I!$A:$D,4,FALSE))</f>
        <v>10.6</v>
      </c>
      <c r="J187" s="80">
        <f>TRUNC(H187*I187,2)</f>
        <v>42.4</v>
      </c>
      <c r="K187" s="81"/>
    </row>
    <row r="188" spans="1:13" ht="15" customHeight="1" x14ac:dyDescent="0.25">
      <c r="A188" s="16" t="s">
        <v>302</v>
      </c>
      <c r="B188" s="16" t="s">
        <v>319</v>
      </c>
      <c r="C188" s="77" t="str">
        <f>VLOOKUP(B188,IF(A188="COMPOSICAO",S!$A:$D,I!$A:$D),2,FALSE)</f>
        <v>ENCARGOS COMPLEMENTARES - SERVENTE</v>
      </c>
      <c r="D188" s="77"/>
      <c r="E188" s="77"/>
      <c r="F188" s="77"/>
      <c r="G188" s="16" t="str">
        <f>VLOOKUP(B188,IF(A188="COMPOSICAO",S!$A:$D,I!$A:$D),3,FALSE)</f>
        <v>H</v>
      </c>
      <c r="H188" s="17">
        <v>4</v>
      </c>
      <c r="I188" s="17">
        <f>IF(A188="COMPOSICAO",VLOOKUP("TOTAL - "&amp;B188,COMPOSICAO_AUX_4!$A:$J,10,FALSE),VLOOKUP(B188,I!$A:$D,4,FALSE))</f>
        <v>2.9100000000000006</v>
      </c>
      <c r="J188" s="80">
        <f>TRUNC(H188*I188,2)</f>
        <v>11.64</v>
      </c>
      <c r="K188" s="81"/>
    </row>
    <row r="189" spans="1:13" ht="15" customHeight="1" x14ac:dyDescent="0.25">
      <c r="A189" s="23" t="s">
        <v>826</v>
      </c>
      <c r="B189" s="24"/>
      <c r="C189" s="24"/>
      <c r="D189" s="24"/>
      <c r="E189" s="24"/>
      <c r="F189" s="24"/>
      <c r="G189" s="25"/>
      <c r="H189" s="26"/>
      <c r="I189" s="27"/>
      <c r="J189" s="80">
        <f>SUM(J183:K188)</f>
        <v>537.70000000000005</v>
      </c>
      <c r="K189" s="81"/>
    </row>
    <row r="190" spans="1:13" ht="15" customHeight="1" x14ac:dyDescent="0.25">
      <c r="A190" s="3"/>
      <c r="B190" s="3"/>
      <c r="C190" s="3"/>
      <c r="D190" s="3"/>
      <c r="E190" s="3"/>
      <c r="F190" s="3"/>
      <c r="G190" s="3"/>
      <c r="H190" s="3"/>
      <c r="I190" s="3"/>
      <c r="J190" s="3"/>
      <c r="K190" s="3"/>
    </row>
    <row r="191" spans="1:13" ht="15" customHeight="1" x14ac:dyDescent="0.25">
      <c r="A191" s="10" t="s">
        <v>295</v>
      </c>
      <c r="B191" s="10" t="s">
        <v>31</v>
      </c>
      <c r="C191" s="82" t="s">
        <v>7</v>
      </c>
      <c r="D191" s="83"/>
      <c r="E191" s="83"/>
      <c r="F191" s="83"/>
      <c r="G191" s="6" t="s">
        <v>32</v>
      </c>
      <c r="H191" s="6" t="s">
        <v>296</v>
      </c>
      <c r="I191" s="6" t="s">
        <v>297</v>
      </c>
      <c r="J191" s="57" t="s">
        <v>9</v>
      </c>
      <c r="K191" s="58"/>
    </row>
    <row r="192" spans="1:13" ht="30" customHeight="1" x14ac:dyDescent="0.25">
      <c r="A192" s="6" t="s">
        <v>11</v>
      </c>
      <c r="B192" s="6" t="s">
        <v>668</v>
      </c>
      <c r="C192" s="91" t="str">
        <f>VLOOKUP(B192,S!$A:$D,2,FALSE)</f>
        <v>CONCRETO SIMPLES FABRICADO NA OBRA, FCK=13,5 MPA (B1/B2), SEM LANÇAMENTO E ADENSAMENTO</v>
      </c>
      <c r="D192" s="91"/>
      <c r="E192" s="91"/>
      <c r="F192" s="92"/>
      <c r="G192" s="6" t="str">
        <f>VLOOKUP(B192,S!$A:$D,3,FALSE)</f>
        <v>M3</v>
      </c>
      <c r="H192" s="21"/>
      <c r="I192" s="21">
        <f>J199</f>
        <v>387.07</v>
      </c>
      <c r="J192" s="76"/>
      <c r="K192" s="72"/>
      <c r="L192" s="21">
        <f>VLOOKUP(B192,S!$A:$D,4,FALSE)</f>
        <v>418.61</v>
      </c>
      <c r="M192" s="6" t="str">
        <f>IF(ROUND((L192-I192),2)=0,"OK, confere com a tabela.",IF(ROUND((L192-I192),2)&lt;0,"ACIMA ("&amp;TEXT(ROUND(I192*100/L192,4),"0,0000")&amp;" %) da tabela.","ABAIXO ("&amp;TEXT(ROUND(I192*100/L192,4),"0,0000")&amp;" %) da tabela."))</f>
        <v>ABAIXO (92,4655 %) da tabela.</v>
      </c>
    </row>
    <row r="193" spans="1:13" ht="30" customHeight="1" x14ac:dyDescent="0.25">
      <c r="A193" s="16" t="s">
        <v>306</v>
      </c>
      <c r="B193" s="20">
        <v>367</v>
      </c>
      <c r="C193" s="77" t="str">
        <f>VLOOKUP(B193,IF(A193="COMPOSICAO",S!$A:$D,I!$A:$D),2,FALSE)</f>
        <v>AREIA GROSSA - POSTO JAZIDA/FORNECEDOR (RETIRADO NA JAZIDA, SEM TRANSPORTE)</v>
      </c>
      <c r="D193" s="77"/>
      <c r="E193" s="77"/>
      <c r="F193" s="77"/>
      <c r="G193" s="16" t="str">
        <f>VLOOKUP(B193,IF(A193="COMPOSICAO",S!$A:$D,I!$A:$D),3,FALSE)</f>
        <v>M3</v>
      </c>
      <c r="H193" s="30">
        <v>0.94299999999999995</v>
      </c>
      <c r="I193" s="17">
        <f>IF(A193="COMPOSICAO",VLOOKUP("TOTAL - "&amp;B193,COMPOSICAO_AUX_4!$A:$J,10,FALSE),VLOOKUP(B193,I!$A:$D,4,FALSE))</f>
        <v>53.34</v>
      </c>
      <c r="J193" s="80">
        <f t="shared" ref="J193:J198" si="7">TRUNC(H193*I193,2)</f>
        <v>50.29</v>
      </c>
      <c r="K193" s="81"/>
    </row>
    <row r="194" spans="1:13" ht="15" customHeight="1" x14ac:dyDescent="0.25">
      <c r="A194" s="16" t="s">
        <v>306</v>
      </c>
      <c r="B194" s="20">
        <v>1379</v>
      </c>
      <c r="C194" s="77" t="str">
        <f>VLOOKUP(B194,IF(A194="COMPOSICAO",S!$A:$D,I!$A:$D),2,FALSE)</f>
        <v>CIMENTO PORTLAND COMPOSTO CP II-32</v>
      </c>
      <c r="D194" s="77"/>
      <c r="E194" s="77"/>
      <c r="F194" s="77"/>
      <c r="G194" s="16" t="str">
        <f>VLOOKUP(B194,IF(A194="COMPOSICAO",S!$A:$D,I!$A:$D),3,FALSE)</f>
        <v>KG</v>
      </c>
      <c r="H194" s="17">
        <v>255</v>
      </c>
      <c r="I194" s="17">
        <f>IF(A194="COMPOSICAO",VLOOKUP("TOTAL - "&amp;B194,COMPOSICAO_AUX_4!$A:$J,10,FALSE),VLOOKUP(B194,I!$A:$D,4,FALSE))</f>
        <v>0.7</v>
      </c>
      <c r="J194" s="80">
        <f t="shared" si="7"/>
        <v>178.5</v>
      </c>
      <c r="K194" s="81"/>
    </row>
    <row r="195" spans="1:13" ht="30" customHeight="1" x14ac:dyDescent="0.25">
      <c r="A195" s="16" t="s">
        <v>306</v>
      </c>
      <c r="B195" s="20">
        <v>4718</v>
      </c>
      <c r="C195" s="77" t="str">
        <f>VLOOKUP(B195,IF(A195="COMPOSICAO",S!$A:$D,I!$A:$D),2,FALSE)</f>
        <v>PEDRA BRITADA N. 2 (19 A 38 MM) POSTO PEDREIRA/FORNECEDOR, SEM FRETE</v>
      </c>
      <c r="D195" s="77"/>
      <c r="E195" s="77"/>
      <c r="F195" s="77"/>
      <c r="G195" s="16" t="str">
        <f>VLOOKUP(B195,IF(A195="COMPOSICAO",S!$A:$D,I!$A:$D),3,FALSE)</f>
        <v>M3</v>
      </c>
      <c r="H195" s="30">
        <v>0.627</v>
      </c>
      <c r="I195" s="17">
        <f>IF(A195="COMPOSICAO",VLOOKUP("TOTAL - "&amp;B195,COMPOSICAO_AUX_4!$A:$J,10,FALSE),VLOOKUP(B195,I!$A:$D,4,FALSE))</f>
        <v>92.5</v>
      </c>
      <c r="J195" s="80">
        <f t="shared" si="7"/>
        <v>57.99</v>
      </c>
      <c r="K195" s="81"/>
    </row>
    <row r="196" spans="1:13" ht="30" customHeight="1" x14ac:dyDescent="0.25">
      <c r="A196" s="16" t="s">
        <v>306</v>
      </c>
      <c r="B196" s="20">
        <v>4721</v>
      </c>
      <c r="C196" s="77" t="str">
        <f>VLOOKUP(B196,IF(A196="COMPOSICAO",S!$A:$D,I!$A:$D),2,FALSE)</f>
        <v>PEDRA BRITADA N. 1 (9,5 a 19 MM) POSTO PEDREIRA/FORNECEDOR, SEM FRETE</v>
      </c>
      <c r="D196" s="77"/>
      <c r="E196" s="77"/>
      <c r="F196" s="77"/>
      <c r="G196" s="16" t="str">
        <f>VLOOKUP(B196,IF(A196="COMPOSICAO",S!$A:$D,I!$A:$D),3,FALSE)</f>
        <v>M3</v>
      </c>
      <c r="H196" s="30">
        <v>0.20899999999999999</v>
      </c>
      <c r="I196" s="17">
        <f>IF(A196="COMPOSICAO",VLOOKUP("TOTAL - "&amp;B196,COMPOSICAO_AUX_4!$A:$J,10,FALSE),VLOOKUP(B196,I!$A:$D,4,FALSE))</f>
        <v>92.01</v>
      </c>
      <c r="J196" s="80">
        <f t="shared" si="7"/>
        <v>19.23</v>
      </c>
      <c r="K196" s="81"/>
    </row>
    <row r="197" spans="1:13" ht="15" customHeight="1" x14ac:dyDescent="0.25">
      <c r="A197" s="16" t="s">
        <v>306</v>
      </c>
      <c r="B197" s="20">
        <v>6111</v>
      </c>
      <c r="C197" s="77" t="str">
        <f>VLOOKUP(B197,IF(A197="COMPOSICAO",S!$A:$D,I!$A:$D),2,FALSE)</f>
        <v>SERVENTE DE OBRAS</v>
      </c>
      <c r="D197" s="77"/>
      <c r="E197" s="77"/>
      <c r="F197" s="77"/>
      <c r="G197" s="16" t="str">
        <f>VLOOKUP(B197,IF(A197="COMPOSICAO",S!$A:$D,I!$A:$D),3,FALSE)</f>
        <v>H</v>
      </c>
      <c r="H197" s="17">
        <v>6</v>
      </c>
      <c r="I197" s="17">
        <f>IF(A197="COMPOSICAO",VLOOKUP("TOTAL - "&amp;B197,COMPOSICAO_AUX_4!$A:$J,10,FALSE),VLOOKUP(B197,I!$A:$D,4,FALSE))</f>
        <v>10.6</v>
      </c>
      <c r="J197" s="80">
        <f t="shared" si="7"/>
        <v>63.6</v>
      </c>
      <c r="K197" s="81"/>
    </row>
    <row r="198" spans="1:13" ht="15" customHeight="1" x14ac:dyDescent="0.25">
      <c r="A198" s="16" t="s">
        <v>302</v>
      </c>
      <c r="B198" s="16" t="s">
        <v>319</v>
      </c>
      <c r="C198" s="77" t="str">
        <f>VLOOKUP(B198,IF(A198="COMPOSICAO",S!$A:$D,I!$A:$D),2,FALSE)</f>
        <v>ENCARGOS COMPLEMENTARES - SERVENTE</v>
      </c>
      <c r="D198" s="77"/>
      <c r="E198" s="77"/>
      <c r="F198" s="77"/>
      <c r="G198" s="16" t="str">
        <f>VLOOKUP(B198,IF(A198="COMPOSICAO",S!$A:$D,I!$A:$D),3,FALSE)</f>
        <v>H</v>
      </c>
      <c r="H198" s="17">
        <v>6</v>
      </c>
      <c r="I198" s="17">
        <f>IF(A198="COMPOSICAO",VLOOKUP("TOTAL - "&amp;B198,COMPOSICAO_AUX_4!$A:$J,10,FALSE),VLOOKUP(B198,I!$A:$D,4,FALSE))</f>
        <v>2.9100000000000006</v>
      </c>
      <c r="J198" s="80">
        <f t="shared" si="7"/>
        <v>17.46</v>
      </c>
      <c r="K198" s="81"/>
    </row>
    <row r="199" spans="1:13" ht="15" customHeight="1" x14ac:dyDescent="0.25">
      <c r="A199" s="23" t="s">
        <v>806</v>
      </c>
      <c r="B199" s="24"/>
      <c r="C199" s="24"/>
      <c r="D199" s="24"/>
      <c r="E199" s="24"/>
      <c r="F199" s="24"/>
      <c r="G199" s="25"/>
      <c r="H199" s="26"/>
      <c r="I199" s="27"/>
      <c r="J199" s="80">
        <f>SUM(J192:K198)</f>
        <v>387.07</v>
      </c>
      <c r="K199" s="81"/>
    </row>
    <row r="200" spans="1:13" ht="15" customHeight="1" x14ac:dyDescent="0.25">
      <c r="A200" s="3"/>
      <c r="B200" s="3"/>
      <c r="C200" s="3"/>
      <c r="D200" s="3"/>
      <c r="E200" s="3"/>
      <c r="F200" s="3"/>
      <c r="G200" s="3"/>
      <c r="H200" s="3"/>
      <c r="I200" s="3"/>
      <c r="J200" s="3"/>
      <c r="K200" s="3"/>
    </row>
    <row r="201" spans="1:13" ht="15" customHeight="1" x14ac:dyDescent="0.25">
      <c r="A201" s="10" t="s">
        <v>295</v>
      </c>
      <c r="B201" s="10" t="s">
        <v>31</v>
      </c>
      <c r="C201" s="82" t="s">
        <v>7</v>
      </c>
      <c r="D201" s="83"/>
      <c r="E201" s="83"/>
      <c r="F201" s="83"/>
      <c r="G201" s="6" t="s">
        <v>32</v>
      </c>
      <c r="H201" s="6" t="s">
        <v>296</v>
      </c>
      <c r="I201" s="6" t="s">
        <v>297</v>
      </c>
      <c r="J201" s="57" t="s">
        <v>9</v>
      </c>
      <c r="K201" s="58"/>
    </row>
    <row r="202" spans="1:13" ht="30" customHeight="1" x14ac:dyDescent="0.25">
      <c r="A202" s="6" t="s">
        <v>502</v>
      </c>
      <c r="B202" s="28">
        <v>95347</v>
      </c>
      <c r="C202" s="91" t="str">
        <f>VLOOKUP(B202,S!$A:$D,2,FALSE)</f>
        <v>CURSO DE CAPACITAÇÃO PARA MOTORISTA DE CAMINHÃO (ENCARGOS COMPLEMENTARES) - HORISTA</v>
      </c>
      <c r="D202" s="91"/>
      <c r="E202" s="91"/>
      <c r="F202" s="92"/>
      <c r="G202" s="6" t="str">
        <f>VLOOKUP(B202,S!$A:$D,3,FALSE)</f>
        <v>H</v>
      </c>
      <c r="H202" s="21"/>
      <c r="I202" s="21">
        <f>J204</f>
        <v>0.06</v>
      </c>
      <c r="J202" s="76"/>
      <c r="K202" s="72"/>
      <c r="L202" s="21">
        <f>VLOOKUP(B202,S!$A:$D,4,FALSE)</f>
        <v>0.06</v>
      </c>
      <c r="M202" s="6" t="str">
        <f>IF(ROUND((L202-I202),2)=0,"OK, confere com a tabela.",IF(ROUND((L202-I202),2)&lt;0,"ACIMA ("&amp;TEXT(ROUND(I202*100/L202,4),"0,0000")&amp;" %) da tabela.","ABAIXO ("&amp;TEXT(ROUND(I202*100/L202,4),"0,0000")&amp;" %) da tabela."))</f>
        <v>OK, confere com a tabela.</v>
      </c>
    </row>
    <row r="203" spans="1:13" ht="15" customHeight="1" x14ac:dyDescent="0.25">
      <c r="A203" s="16" t="s">
        <v>306</v>
      </c>
      <c r="B203" s="20">
        <v>4093</v>
      </c>
      <c r="C203" s="77" t="str">
        <f>VLOOKUP(B203,IF(A203="COMPOSICAO",S!$A:$D,I!$A:$D),2,FALSE)</f>
        <v>MOTORISTA DE CAMINHAO</v>
      </c>
      <c r="D203" s="77"/>
      <c r="E203" s="77"/>
      <c r="F203" s="77"/>
      <c r="G203" s="16" t="str">
        <f>VLOOKUP(B203,IF(A203="COMPOSICAO",S!$A:$D,I!$A:$D),3,FALSE)</f>
        <v>H</v>
      </c>
      <c r="H203" s="29">
        <v>3.5999999999999999E-3</v>
      </c>
      <c r="I203" s="17">
        <f>IF(A203="COMPOSICAO",VLOOKUP("TOTAL - "&amp;B203,COMPOSICAO_AUX_4!$A:$J,10,FALSE),VLOOKUP(B203,I!$A:$D,4,FALSE))</f>
        <v>18.28</v>
      </c>
      <c r="J203" s="80">
        <f>TRUNC(H203*I203,2)</f>
        <v>0.06</v>
      </c>
      <c r="K203" s="81"/>
    </row>
    <row r="204" spans="1:13" ht="15" customHeight="1" x14ac:dyDescent="0.25">
      <c r="A204" s="23" t="s">
        <v>827</v>
      </c>
      <c r="B204" s="24"/>
      <c r="C204" s="24"/>
      <c r="D204" s="24"/>
      <c r="E204" s="24"/>
      <c r="F204" s="24"/>
      <c r="G204" s="25"/>
      <c r="H204" s="26"/>
      <c r="I204" s="27"/>
      <c r="J204" s="80">
        <f>SUM(J202:K203)</f>
        <v>0.06</v>
      </c>
      <c r="K204" s="81"/>
    </row>
    <row r="205" spans="1:13" ht="15" customHeight="1" x14ac:dyDescent="0.25">
      <c r="A205" s="3"/>
      <c r="B205" s="3"/>
      <c r="C205" s="3"/>
      <c r="D205" s="3"/>
      <c r="E205" s="3"/>
      <c r="F205" s="3"/>
      <c r="G205" s="3"/>
      <c r="H205" s="3"/>
      <c r="I205" s="3"/>
      <c r="J205" s="3"/>
      <c r="K205" s="3"/>
    </row>
    <row r="206" spans="1:13" ht="15" customHeight="1" x14ac:dyDescent="0.25">
      <c r="A206" s="10" t="s">
        <v>295</v>
      </c>
      <c r="B206" s="10" t="s">
        <v>31</v>
      </c>
      <c r="C206" s="82" t="s">
        <v>7</v>
      </c>
      <c r="D206" s="83"/>
      <c r="E206" s="83"/>
      <c r="F206" s="83"/>
      <c r="G206" s="6" t="s">
        <v>32</v>
      </c>
      <c r="H206" s="6" t="s">
        <v>296</v>
      </c>
      <c r="I206" s="6" t="s">
        <v>297</v>
      </c>
      <c r="J206" s="57" t="s">
        <v>9</v>
      </c>
      <c r="K206" s="58"/>
    </row>
    <row r="207" spans="1:13" ht="45" customHeight="1" x14ac:dyDescent="0.25">
      <c r="A207" s="6" t="s">
        <v>502</v>
      </c>
      <c r="B207" s="28">
        <v>95360</v>
      </c>
      <c r="C207" s="91" t="str">
        <f>VLOOKUP(B207,S!$A:$D,2,FALSE)</f>
        <v>CURSO DE CAPACITAÇÃO PARA OPERADOR DE MÁQUINAS E EQUIPAMENTOS (ENCARGOS COMPLEMENTARES) - HORISTA</v>
      </c>
      <c r="D207" s="91"/>
      <c r="E207" s="91"/>
      <c r="F207" s="92"/>
      <c r="G207" s="6" t="str">
        <f>VLOOKUP(B207,S!$A:$D,3,FALSE)</f>
        <v>H</v>
      </c>
      <c r="H207" s="21"/>
      <c r="I207" s="21">
        <f>J209</f>
        <v>0.17</v>
      </c>
      <c r="J207" s="76"/>
      <c r="K207" s="72"/>
      <c r="L207" s="21">
        <f>VLOOKUP(B207,S!$A:$D,4,FALSE)</f>
        <v>0.17</v>
      </c>
      <c r="M207" s="6" t="str">
        <f>IF(ROUND((L207-I207),2)=0,"OK, confere com a tabela.",IF(ROUND((L207-I207),2)&lt;0,"ACIMA ("&amp;TEXT(ROUND(I207*100/L207,4),"0,0000")&amp;" %) da tabela.","ABAIXO ("&amp;TEXT(ROUND(I207*100/L207,4),"0,0000")&amp;" %) da tabela."))</f>
        <v>OK, confere com a tabela.</v>
      </c>
    </row>
    <row r="208" spans="1:13" ht="30" customHeight="1" x14ac:dyDescent="0.25">
      <c r="A208" s="16" t="s">
        <v>306</v>
      </c>
      <c r="B208" s="20">
        <v>4230</v>
      </c>
      <c r="C208" s="77" t="str">
        <f>VLOOKUP(B208,IF(A208="COMPOSICAO",S!$A:$D,I!$A:$D),2,FALSE)</f>
        <v>OPERADOR DE MAQUINAS E TRATORES DIVERSOS (TERRAPLANAGEM)</v>
      </c>
      <c r="D208" s="77"/>
      <c r="E208" s="77"/>
      <c r="F208" s="77"/>
      <c r="G208" s="16" t="str">
        <f>VLOOKUP(B208,IF(A208="COMPOSICAO",S!$A:$D,I!$A:$D),3,FALSE)</f>
        <v>H</v>
      </c>
      <c r="H208" s="29">
        <v>8.2000000000000007E-3</v>
      </c>
      <c r="I208" s="17">
        <f>IF(A208="COMPOSICAO",VLOOKUP("TOTAL - "&amp;B208,COMPOSICAO_AUX_4!$A:$J,10,FALSE),VLOOKUP(B208,I!$A:$D,4,FALSE))</f>
        <v>21.06</v>
      </c>
      <c r="J208" s="80">
        <f>TRUNC(H208*I208,2)</f>
        <v>0.17</v>
      </c>
      <c r="K208" s="81"/>
    </row>
    <row r="209" spans="1:13" ht="15" customHeight="1" x14ac:dyDescent="0.25">
      <c r="A209" s="23" t="s">
        <v>828</v>
      </c>
      <c r="B209" s="24"/>
      <c r="C209" s="24"/>
      <c r="D209" s="24"/>
      <c r="E209" s="24"/>
      <c r="F209" s="24"/>
      <c r="G209" s="25"/>
      <c r="H209" s="26"/>
      <c r="I209" s="27"/>
      <c r="J209" s="80">
        <f>SUM(J207:K208)</f>
        <v>0.17</v>
      </c>
      <c r="K209" s="81"/>
    </row>
    <row r="210" spans="1:13" ht="15" customHeight="1" x14ac:dyDescent="0.25">
      <c r="A210" s="3"/>
      <c r="B210" s="3"/>
      <c r="C210" s="3"/>
      <c r="D210" s="3"/>
      <c r="E210" s="3"/>
      <c r="F210" s="3"/>
      <c r="G210" s="3"/>
      <c r="H210" s="3"/>
      <c r="I210" s="3"/>
      <c r="J210" s="3"/>
      <c r="K210" s="3"/>
    </row>
    <row r="211" spans="1:13" ht="15" customHeight="1" x14ac:dyDescent="0.25">
      <c r="A211" s="10" t="s">
        <v>295</v>
      </c>
      <c r="B211" s="10" t="s">
        <v>31</v>
      </c>
      <c r="C211" s="82" t="s">
        <v>7</v>
      </c>
      <c r="D211" s="83"/>
      <c r="E211" s="83"/>
      <c r="F211" s="83"/>
      <c r="G211" s="6" t="s">
        <v>32</v>
      </c>
      <c r="H211" s="6" t="s">
        <v>296</v>
      </c>
      <c r="I211" s="6" t="s">
        <v>297</v>
      </c>
      <c r="J211" s="57" t="s">
        <v>9</v>
      </c>
      <c r="K211" s="58"/>
    </row>
    <row r="212" spans="1:13" ht="30" customHeight="1" x14ac:dyDescent="0.25">
      <c r="A212" s="6" t="s">
        <v>502</v>
      </c>
      <c r="B212" s="28">
        <v>95309</v>
      </c>
      <c r="C212" s="91" t="str">
        <f>VLOOKUP(B212,S!$A:$D,2,FALSE)</f>
        <v>CURSO DE CAPACITAÇÃO PARA AJUDANTE DE CARPINTEIRO (ENCARGOS COMPLEMENTARES) - HORISTA</v>
      </c>
      <c r="D212" s="91"/>
      <c r="E212" s="91"/>
      <c r="F212" s="92"/>
      <c r="G212" s="6" t="str">
        <f>VLOOKUP(B212,S!$A:$D,3,FALSE)</f>
        <v>H</v>
      </c>
      <c r="H212" s="21"/>
      <c r="I212" s="21">
        <f>J214</f>
        <v>0.12</v>
      </c>
      <c r="J212" s="76"/>
      <c r="K212" s="72"/>
      <c r="L212" s="21">
        <f>VLOOKUP(B212,S!$A:$D,4,FALSE)</f>
        <v>0.12</v>
      </c>
      <c r="M212" s="6" t="str">
        <f>IF(ROUND((L212-I212),2)=0,"OK, confere com a tabela.",IF(ROUND((L212-I212),2)&lt;0,"ACIMA ("&amp;TEXT(ROUND(I212*100/L212,4),"0,0000")&amp;" %) da tabela.","ABAIXO ("&amp;TEXT(ROUND(I212*100/L212,4),"0,0000")&amp;" %) da tabela."))</f>
        <v>OK, confere com a tabela.</v>
      </c>
    </row>
    <row r="213" spans="1:13" ht="15" customHeight="1" x14ac:dyDescent="0.25">
      <c r="A213" s="16" t="s">
        <v>306</v>
      </c>
      <c r="B213" s="20">
        <v>6117</v>
      </c>
      <c r="C213" s="77" t="str">
        <f>VLOOKUP(B213,IF(A213="COMPOSICAO",S!$A:$D,I!$A:$D),2,FALSE)</f>
        <v>CARPINTEIRO AUXILIAR</v>
      </c>
      <c r="D213" s="77"/>
      <c r="E213" s="77"/>
      <c r="F213" s="77"/>
      <c r="G213" s="16" t="str">
        <f>VLOOKUP(B213,IF(A213="COMPOSICAO",S!$A:$D,I!$A:$D),3,FALSE)</f>
        <v>H</v>
      </c>
      <c r="H213" s="29">
        <v>1.0500000000000001E-2</v>
      </c>
      <c r="I213" s="17">
        <f>IF(A213="COMPOSICAO",VLOOKUP("TOTAL - "&amp;B213,COMPOSICAO_AUX_4!$A:$J,10,FALSE),VLOOKUP(B213,I!$A:$D,4,FALSE))</f>
        <v>11.75</v>
      </c>
      <c r="J213" s="80">
        <f>TRUNC(H213*I213,2)</f>
        <v>0.12</v>
      </c>
      <c r="K213" s="81"/>
    </row>
    <row r="214" spans="1:13" ht="15" customHeight="1" x14ac:dyDescent="0.25">
      <c r="A214" s="23" t="s">
        <v>785</v>
      </c>
      <c r="B214" s="24"/>
      <c r="C214" s="24"/>
      <c r="D214" s="24"/>
      <c r="E214" s="24"/>
      <c r="F214" s="24"/>
      <c r="G214" s="25"/>
      <c r="H214" s="26"/>
      <c r="I214" s="27"/>
      <c r="J214" s="80">
        <f>SUM(J212:K213)</f>
        <v>0.12</v>
      </c>
      <c r="K214" s="81"/>
    </row>
    <row r="215" spans="1:13" ht="15" customHeight="1" x14ac:dyDescent="0.25">
      <c r="A215" s="3"/>
      <c r="B215" s="3"/>
      <c r="C215" s="3"/>
      <c r="D215" s="3"/>
      <c r="E215" s="3"/>
      <c r="F215" s="3"/>
      <c r="G215" s="3"/>
      <c r="H215" s="3"/>
      <c r="I215" s="3"/>
      <c r="J215" s="3"/>
      <c r="K215" s="3"/>
    </row>
    <row r="216" spans="1:13" ht="15" customHeight="1" x14ac:dyDescent="0.25">
      <c r="A216" s="10" t="s">
        <v>295</v>
      </c>
      <c r="B216" s="10" t="s">
        <v>31</v>
      </c>
      <c r="C216" s="82" t="s">
        <v>7</v>
      </c>
      <c r="D216" s="83"/>
      <c r="E216" s="83"/>
      <c r="F216" s="83"/>
      <c r="G216" s="6" t="s">
        <v>32</v>
      </c>
      <c r="H216" s="6" t="s">
        <v>296</v>
      </c>
      <c r="I216" s="6" t="s">
        <v>297</v>
      </c>
      <c r="J216" s="57" t="s">
        <v>9</v>
      </c>
      <c r="K216" s="58"/>
    </row>
    <row r="217" spans="1:13" ht="30" customHeight="1" x14ac:dyDescent="0.25">
      <c r="A217" s="6" t="s">
        <v>502</v>
      </c>
      <c r="B217" s="28">
        <v>95330</v>
      </c>
      <c r="C217" s="91" t="str">
        <f>VLOOKUP(B217,S!$A:$D,2,FALSE)</f>
        <v>CURSO DE CAPACITAÇÃO PARA CARPINTEIRO DE FÔRMAS (ENCARGOS COMPLEMENTARES) - HORISTA</v>
      </c>
      <c r="D217" s="91"/>
      <c r="E217" s="91"/>
      <c r="F217" s="92"/>
      <c r="G217" s="6" t="str">
        <f>VLOOKUP(B217,S!$A:$D,3,FALSE)</f>
        <v>H</v>
      </c>
      <c r="H217" s="21"/>
      <c r="I217" s="21">
        <f>J219</f>
        <v>0.12</v>
      </c>
      <c r="J217" s="76"/>
      <c r="K217" s="72"/>
      <c r="L217" s="21">
        <f>VLOOKUP(B217,S!$A:$D,4,FALSE)</f>
        <v>0.12</v>
      </c>
      <c r="M217" s="6" t="str">
        <f>IF(ROUND((L217-I217),2)=0,"OK, confere com a tabela.",IF(ROUND((L217-I217),2)&lt;0,"ACIMA ("&amp;TEXT(ROUND(I217*100/L217,4),"0,0000")&amp;" %) da tabela.","ABAIXO ("&amp;TEXT(ROUND(I217*100/L217,4),"0,0000")&amp;" %) da tabela."))</f>
        <v>OK, confere com a tabela.</v>
      </c>
    </row>
    <row r="218" spans="1:13" ht="15" customHeight="1" x14ac:dyDescent="0.25">
      <c r="A218" s="16" t="s">
        <v>306</v>
      </c>
      <c r="B218" s="20">
        <v>1213</v>
      </c>
      <c r="C218" s="77" t="str">
        <f>VLOOKUP(B218,IF(A218="COMPOSICAO",S!$A:$D,I!$A:$D),2,FALSE)</f>
        <v>CARPINTEIRO DE FORMAS</v>
      </c>
      <c r="D218" s="77"/>
      <c r="E218" s="77"/>
      <c r="F218" s="77"/>
      <c r="G218" s="16" t="str">
        <f>VLOOKUP(B218,IF(A218="COMPOSICAO",S!$A:$D,I!$A:$D),3,FALSE)</f>
        <v>H</v>
      </c>
      <c r="H218" s="29">
        <v>8.2000000000000007E-3</v>
      </c>
      <c r="I218" s="17">
        <f>IF(A218="COMPOSICAO",VLOOKUP("TOTAL - "&amp;B218,COMPOSICAO_AUX_4!$A:$J,10,FALSE),VLOOKUP(B218,I!$A:$D,4,FALSE))</f>
        <v>14.93</v>
      </c>
      <c r="J218" s="80">
        <f>TRUNC(H218*I218,2)</f>
        <v>0.12</v>
      </c>
      <c r="K218" s="81"/>
    </row>
    <row r="219" spans="1:13" ht="15" customHeight="1" x14ac:dyDescent="0.25">
      <c r="A219" s="23" t="s">
        <v>738</v>
      </c>
      <c r="B219" s="24"/>
      <c r="C219" s="24"/>
      <c r="D219" s="24"/>
      <c r="E219" s="24"/>
      <c r="F219" s="24"/>
      <c r="G219" s="25"/>
      <c r="H219" s="26"/>
      <c r="I219" s="27"/>
      <c r="J219" s="80">
        <f>SUM(J217:K218)</f>
        <v>0.12</v>
      </c>
      <c r="K219" s="81"/>
    </row>
    <row r="220" spans="1:13" ht="15" customHeight="1" x14ac:dyDescent="0.25">
      <c r="A220" s="3"/>
      <c r="B220" s="3"/>
      <c r="C220" s="3"/>
      <c r="D220" s="3"/>
      <c r="E220" s="3"/>
      <c r="F220" s="3"/>
      <c r="G220" s="3"/>
      <c r="H220" s="3"/>
      <c r="I220" s="3"/>
      <c r="J220" s="3"/>
      <c r="K220" s="3"/>
    </row>
    <row r="221" spans="1:13" ht="15" customHeight="1" x14ac:dyDescent="0.25">
      <c r="A221" s="10" t="s">
        <v>295</v>
      </c>
      <c r="B221" s="10" t="s">
        <v>31</v>
      </c>
      <c r="C221" s="82" t="s">
        <v>7</v>
      </c>
      <c r="D221" s="83"/>
      <c r="E221" s="83"/>
      <c r="F221" s="83"/>
      <c r="G221" s="6" t="s">
        <v>32</v>
      </c>
      <c r="H221" s="6" t="s">
        <v>296</v>
      </c>
      <c r="I221" s="6" t="s">
        <v>297</v>
      </c>
      <c r="J221" s="57" t="s">
        <v>9</v>
      </c>
      <c r="K221" s="58"/>
    </row>
    <row r="222" spans="1:13" ht="30" customHeight="1" x14ac:dyDescent="0.25">
      <c r="A222" s="6" t="s">
        <v>502</v>
      </c>
      <c r="B222" s="28">
        <v>88239</v>
      </c>
      <c r="C222" s="91" t="str">
        <f>VLOOKUP(B222,S!$A:$D,2,FALSE)</f>
        <v>AJUDANTE DE CARPINTEIRO COM ENCARGOS COMPLEMENTARES</v>
      </c>
      <c r="D222" s="91"/>
      <c r="E222" s="91"/>
      <c r="F222" s="92"/>
      <c r="G222" s="6" t="str">
        <f>VLOOKUP(B222,S!$A:$D,3,FALSE)</f>
        <v>H</v>
      </c>
      <c r="H222" s="21"/>
      <c r="I222" s="21">
        <f>J231</f>
        <v>16.470000000000002</v>
      </c>
      <c r="J222" s="76"/>
      <c r="K222" s="72"/>
      <c r="L222" s="21">
        <f>VLOOKUP(B222,S!$A:$D,4,FALSE)</f>
        <v>16.47</v>
      </c>
      <c r="M222" s="6" t="str">
        <f>IF(ROUND((L222-I222),2)=0,"OK, confere com a tabela.",IF(ROUND((L222-I222),2)&lt;0,"ACIMA ("&amp;TEXT(ROUND(I222*100/L222,4),"0,0000")&amp;" %) da tabela.","ABAIXO ("&amp;TEXT(ROUND(I222*100/L222,4),"0,0000")&amp;" %) da tabela."))</f>
        <v>OK, confere com a tabela.</v>
      </c>
    </row>
    <row r="223" spans="1:13" ht="15" customHeight="1" x14ac:dyDescent="0.25">
      <c r="A223" s="16" t="s">
        <v>306</v>
      </c>
      <c r="B223" s="20">
        <v>6117</v>
      </c>
      <c r="C223" s="77" t="str">
        <f>VLOOKUP(B223,IF(A223="COMPOSICAO",S!$A:$D,I!$A:$D),2,FALSE)</f>
        <v>CARPINTEIRO AUXILIAR</v>
      </c>
      <c r="D223" s="77"/>
      <c r="E223" s="77"/>
      <c r="F223" s="77"/>
      <c r="G223" s="16" t="str">
        <f>VLOOKUP(B223,IF(A223="COMPOSICAO",S!$A:$D,I!$A:$D),3,FALSE)</f>
        <v>H</v>
      </c>
      <c r="H223" s="17">
        <v>1</v>
      </c>
      <c r="I223" s="17">
        <f>IF(A223="COMPOSICAO",VLOOKUP("TOTAL - "&amp;B223,COMPOSICAO_AUX_4!$A:$J,10,FALSE),VLOOKUP(B223,I!$A:$D,4,FALSE))</f>
        <v>11.75</v>
      </c>
      <c r="J223" s="80">
        <f t="shared" ref="J223:J230" si="8">TRUNC(H223*I223,2)</f>
        <v>11.75</v>
      </c>
      <c r="K223" s="81"/>
    </row>
    <row r="224" spans="1:13" ht="15" customHeight="1" x14ac:dyDescent="0.25">
      <c r="A224" s="16" t="s">
        <v>306</v>
      </c>
      <c r="B224" s="20">
        <v>37370</v>
      </c>
      <c r="C224" s="77" t="str">
        <f>VLOOKUP(B224,IF(A224="COMPOSICAO",S!$A:$D,I!$A:$D),2,FALSE)</f>
        <v>ALIMENTACAO - HORISTA (COLETADO CAIXA)</v>
      </c>
      <c r="D224" s="77"/>
      <c r="E224" s="77"/>
      <c r="F224" s="77"/>
      <c r="G224" s="16" t="str">
        <f>VLOOKUP(B224,IF(A224="COMPOSICAO",S!$A:$D,I!$A:$D),3,FALSE)</f>
        <v>H</v>
      </c>
      <c r="H224" s="17">
        <v>1</v>
      </c>
      <c r="I224" s="17">
        <f>IF(A224="COMPOSICAO",VLOOKUP("TOTAL - "&amp;B224,COMPOSICAO_AUX_4!$A:$J,10,FALSE),VLOOKUP(B224,I!$A:$D,4,FALSE))</f>
        <v>1.86</v>
      </c>
      <c r="J224" s="80">
        <f t="shared" si="8"/>
        <v>1.86</v>
      </c>
      <c r="K224" s="81"/>
    </row>
    <row r="225" spans="1:13" ht="15" customHeight="1" x14ac:dyDescent="0.25">
      <c r="A225" s="16" t="s">
        <v>306</v>
      </c>
      <c r="B225" s="20">
        <v>37371</v>
      </c>
      <c r="C225" s="77" t="str">
        <f>VLOOKUP(B225,IF(A225="COMPOSICAO",S!$A:$D,I!$A:$D),2,FALSE)</f>
        <v>TRANSPORTE - HORISTA (COLETADO CAIXA)</v>
      </c>
      <c r="D225" s="77"/>
      <c r="E225" s="77"/>
      <c r="F225" s="77"/>
      <c r="G225" s="16" t="str">
        <f>VLOOKUP(B225,IF(A225="COMPOSICAO",S!$A:$D,I!$A:$D),3,FALSE)</f>
        <v>H</v>
      </c>
      <c r="H225" s="17">
        <v>1</v>
      </c>
      <c r="I225" s="17">
        <f>IF(A225="COMPOSICAO",VLOOKUP("TOTAL - "&amp;B225,COMPOSICAO_AUX_4!$A:$J,10,FALSE),VLOOKUP(B225,I!$A:$D,4,FALSE))</f>
        <v>0.7</v>
      </c>
      <c r="J225" s="80">
        <f t="shared" si="8"/>
        <v>0.7</v>
      </c>
      <c r="K225" s="81"/>
    </row>
    <row r="226" spans="1:13" ht="15" customHeight="1" x14ac:dyDescent="0.25">
      <c r="A226" s="16" t="s">
        <v>306</v>
      </c>
      <c r="B226" s="20">
        <v>37372</v>
      </c>
      <c r="C226" s="77" t="str">
        <f>VLOOKUP(B226,IF(A226="COMPOSICAO",S!$A:$D,I!$A:$D),2,FALSE)</f>
        <v>EXAMES - HORISTA (COLETADO CAIXA)</v>
      </c>
      <c r="D226" s="77"/>
      <c r="E226" s="77"/>
      <c r="F226" s="77"/>
      <c r="G226" s="16" t="str">
        <f>VLOOKUP(B226,IF(A226="COMPOSICAO",S!$A:$D,I!$A:$D),3,FALSE)</f>
        <v>H</v>
      </c>
      <c r="H226" s="17">
        <v>1</v>
      </c>
      <c r="I226" s="17">
        <f>IF(A226="COMPOSICAO",VLOOKUP("TOTAL - "&amp;B226,COMPOSICAO_AUX_4!$A:$J,10,FALSE),VLOOKUP(B226,I!$A:$D,4,FALSE))</f>
        <v>0.55000000000000004</v>
      </c>
      <c r="J226" s="80">
        <f t="shared" si="8"/>
        <v>0.55000000000000004</v>
      </c>
      <c r="K226" s="81"/>
    </row>
    <row r="227" spans="1:13" ht="15" customHeight="1" x14ac:dyDescent="0.25">
      <c r="A227" s="16" t="s">
        <v>306</v>
      </c>
      <c r="B227" s="20">
        <v>37373</v>
      </c>
      <c r="C227" s="77" t="str">
        <f>VLOOKUP(B227,IF(A227="COMPOSICAO",S!$A:$D,I!$A:$D),2,FALSE)</f>
        <v>SEGURO - HORISTA (COLETADO CAIXA)</v>
      </c>
      <c r="D227" s="77"/>
      <c r="E227" s="77"/>
      <c r="F227" s="77"/>
      <c r="G227" s="16" t="str">
        <f>VLOOKUP(B227,IF(A227="COMPOSICAO",S!$A:$D,I!$A:$D),3,FALSE)</f>
        <v>H</v>
      </c>
      <c r="H227" s="17">
        <v>1</v>
      </c>
      <c r="I227" s="17">
        <f>IF(A227="COMPOSICAO",VLOOKUP("TOTAL - "&amp;B227,COMPOSICAO_AUX_4!$A:$J,10,FALSE),VLOOKUP(B227,I!$A:$D,4,FALSE))</f>
        <v>0.06</v>
      </c>
      <c r="J227" s="80">
        <f t="shared" si="8"/>
        <v>0.06</v>
      </c>
      <c r="K227" s="81"/>
    </row>
    <row r="228" spans="1:13" ht="45" customHeight="1" x14ac:dyDescent="0.25">
      <c r="A228" s="16" t="s">
        <v>306</v>
      </c>
      <c r="B228" s="20">
        <v>43459</v>
      </c>
      <c r="C228" s="77" t="str">
        <f>VLOOKUP(B228,IF(A228="COMPOSICAO",S!$A:$D,I!$A:$D),2,FALSE)</f>
        <v>FERRAMENTAS - FAMILIA CARPINTEIRO DE FORMAS - HORISTA (ENCARGOS COMPLEMENTARES - COLETADO CAIXA)</v>
      </c>
      <c r="D228" s="77"/>
      <c r="E228" s="77"/>
      <c r="F228" s="77"/>
      <c r="G228" s="16" t="str">
        <f>VLOOKUP(B228,IF(A228="COMPOSICAO",S!$A:$D,I!$A:$D),3,FALSE)</f>
        <v>H</v>
      </c>
      <c r="H228" s="17">
        <v>1</v>
      </c>
      <c r="I228" s="17">
        <f>IF(A228="COMPOSICAO",VLOOKUP("TOTAL - "&amp;B228,COMPOSICAO_AUX_4!$A:$J,10,FALSE),VLOOKUP(B228,I!$A:$D,4,FALSE))</f>
        <v>0.38</v>
      </c>
      <c r="J228" s="80">
        <f t="shared" si="8"/>
        <v>0.38</v>
      </c>
      <c r="K228" s="81"/>
    </row>
    <row r="229" spans="1:13" ht="30" customHeight="1" x14ac:dyDescent="0.25">
      <c r="A229" s="16" t="s">
        <v>306</v>
      </c>
      <c r="B229" s="20">
        <v>43483</v>
      </c>
      <c r="C229" s="77" t="str">
        <f>VLOOKUP(B229,IF(A229="COMPOSICAO",S!$A:$D,I!$A:$D),2,FALSE)</f>
        <v>EPI - FAMILIA CARPINTEIRO DE FORMAS - HORISTA (ENCARGOS COMPLEMENTARES - COLETADO CAIXA)</v>
      </c>
      <c r="D229" s="77"/>
      <c r="E229" s="77"/>
      <c r="F229" s="77"/>
      <c r="G229" s="16" t="str">
        <f>VLOOKUP(B229,IF(A229="COMPOSICAO",S!$A:$D,I!$A:$D),3,FALSE)</f>
        <v>H</v>
      </c>
      <c r="H229" s="17">
        <v>1</v>
      </c>
      <c r="I229" s="17">
        <f>IF(A229="COMPOSICAO",VLOOKUP("TOTAL - "&amp;B229,COMPOSICAO_AUX_4!$A:$J,10,FALSE),VLOOKUP(B229,I!$A:$D,4,FALSE))</f>
        <v>1.05</v>
      </c>
      <c r="J229" s="80">
        <f t="shared" si="8"/>
        <v>1.05</v>
      </c>
      <c r="K229" s="81"/>
    </row>
    <row r="230" spans="1:13" ht="30" customHeight="1" x14ac:dyDescent="0.25">
      <c r="A230" s="16" t="s">
        <v>302</v>
      </c>
      <c r="B230" s="20">
        <v>95309</v>
      </c>
      <c r="C230" s="77" t="str">
        <f>VLOOKUP(B230,IF(A230="COMPOSICAO",S!$A:$D,I!$A:$D),2,FALSE)</f>
        <v>CURSO DE CAPACITAÇÃO PARA AJUDANTE DE CARPINTEIRO (ENCARGOS COMPLEMENTARES) - HORISTA</v>
      </c>
      <c r="D230" s="77"/>
      <c r="E230" s="77"/>
      <c r="F230" s="77"/>
      <c r="G230" s="16" t="str">
        <f>VLOOKUP(B230,IF(A230="COMPOSICAO",S!$A:$D,I!$A:$D),3,FALSE)</f>
        <v>H</v>
      </c>
      <c r="H230" s="17">
        <v>1</v>
      </c>
      <c r="I230" s="17">
        <f>IF(A230="COMPOSICAO",VLOOKUP("TOTAL - "&amp;B230,COMPOSICAO_AUX_4!$A:$J,10,FALSE),VLOOKUP(B230,I!$A:$D,4,FALSE))</f>
        <v>0.12</v>
      </c>
      <c r="J230" s="80">
        <f t="shared" si="8"/>
        <v>0.12</v>
      </c>
      <c r="K230" s="81"/>
    </row>
    <row r="231" spans="1:13" ht="15" customHeight="1" x14ac:dyDescent="0.25">
      <c r="A231" s="23" t="s">
        <v>604</v>
      </c>
      <c r="B231" s="24"/>
      <c r="C231" s="24"/>
      <c r="D231" s="24"/>
      <c r="E231" s="24"/>
      <c r="F231" s="24"/>
      <c r="G231" s="25"/>
      <c r="H231" s="26"/>
      <c r="I231" s="27"/>
      <c r="J231" s="80">
        <f>SUM(J222:K230)</f>
        <v>16.470000000000002</v>
      </c>
      <c r="K231" s="81"/>
    </row>
    <row r="232" spans="1:13" ht="15" customHeight="1" x14ac:dyDescent="0.25">
      <c r="A232" s="3"/>
      <c r="B232" s="3"/>
      <c r="C232" s="3"/>
      <c r="D232" s="3"/>
      <c r="E232" s="3"/>
      <c r="F232" s="3"/>
      <c r="G232" s="3"/>
      <c r="H232" s="3"/>
      <c r="I232" s="3"/>
      <c r="J232" s="3"/>
      <c r="K232" s="3"/>
    </row>
    <row r="233" spans="1:13" ht="15" customHeight="1" x14ac:dyDescent="0.25">
      <c r="A233" s="10" t="s">
        <v>295</v>
      </c>
      <c r="B233" s="10" t="s">
        <v>31</v>
      </c>
      <c r="C233" s="82" t="s">
        <v>7</v>
      </c>
      <c r="D233" s="83"/>
      <c r="E233" s="83"/>
      <c r="F233" s="83"/>
      <c r="G233" s="6" t="s">
        <v>32</v>
      </c>
      <c r="H233" s="6" t="s">
        <v>296</v>
      </c>
      <c r="I233" s="6" t="s">
        <v>297</v>
      </c>
      <c r="J233" s="57" t="s">
        <v>9</v>
      </c>
      <c r="K233" s="58"/>
    </row>
    <row r="234" spans="1:13" ht="30" customHeight="1" x14ac:dyDescent="0.25">
      <c r="A234" s="6" t="s">
        <v>502</v>
      </c>
      <c r="B234" s="28">
        <v>88262</v>
      </c>
      <c r="C234" s="91" t="str">
        <f>VLOOKUP(B234,S!$A:$D,2,FALSE)</f>
        <v>CARPINTEIRO DE FORMAS COM ENCARGOS COMPLEMENTARES</v>
      </c>
      <c r="D234" s="91"/>
      <c r="E234" s="91"/>
      <c r="F234" s="92"/>
      <c r="G234" s="6" t="str">
        <f>VLOOKUP(B234,S!$A:$D,3,FALSE)</f>
        <v>H</v>
      </c>
      <c r="H234" s="21"/>
      <c r="I234" s="21">
        <f>J243</f>
        <v>19.649999999999999</v>
      </c>
      <c r="J234" s="76"/>
      <c r="K234" s="72"/>
      <c r="L234" s="21">
        <f>VLOOKUP(B234,S!$A:$D,4,FALSE)</f>
        <v>19.649999999999999</v>
      </c>
      <c r="M234" s="6" t="str">
        <f>IF(ROUND((L234-I234),2)=0,"OK, confere com a tabela.",IF(ROUND((L234-I234),2)&lt;0,"ACIMA ("&amp;TEXT(ROUND(I234*100/L234,4),"0,0000")&amp;" %) da tabela.","ABAIXO ("&amp;TEXT(ROUND(I234*100/L234,4),"0,0000")&amp;" %) da tabela."))</f>
        <v>OK, confere com a tabela.</v>
      </c>
    </row>
    <row r="235" spans="1:13" ht="15" customHeight="1" x14ac:dyDescent="0.25">
      <c r="A235" s="16" t="s">
        <v>306</v>
      </c>
      <c r="B235" s="20">
        <v>1213</v>
      </c>
      <c r="C235" s="77" t="str">
        <f>VLOOKUP(B235,IF(A235="COMPOSICAO",S!$A:$D,I!$A:$D),2,FALSE)</f>
        <v>CARPINTEIRO DE FORMAS</v>
      </c>
      <c r="D235" s="77"/>
      <c r="E235" s="77"/>
      <c r="F235" s="77"/>
      <c r="G235" s="16" t="str">
        <f>VLOOKUP(B235,IF(A235="COMPOSICAO",S!$A:$D,I!$A:$D),3,FALSE)</f>
        <v>H</v>
      </c>
      <c r="H235" s="17">
        <v>1</v>
      </c>
      <c r="I235" s="17">
        <f>IF(A235="COMPOSICAO",VLOOKUP("TOTAL - "&amp;B235,COMPOSICAO_AUX_4!$A:$J,10,FALSE),VLOOKUP(B235,I!$A:$D,4,FALSE))</f>
        <v>14.93</v>
      </c>
      <c r="J235" s="80">
        <f t="shared" ref="J235:J242" si="9">TRUNC(H235*I235,2)</f>
        <v>14.93</v>
      </c>
      <c r="K235" s="81"/>
    </row>
    <row r="236" spans="1:13" ht="15" customHeight="1" x14ac:dyDescent="0.25">
      <c r="A236" s="16" t="s">
        <v>306</v>
      </c>
      <c r="B236" s="20">
        <v>37370</v>
      </c>
      <c r="C236" s="77" t="str">
        <f>VLOOKUP(B236,IF(A236="COMPOSICAO",S!$A:$D,I!$A:$D),2,FALSE)</f>
        <v>ALIMENTACAO - HORISTA (COLETADO CAIXA)</v>
      </c>
      <c r="D236" s="77"/>
      <c r="E236" s="77"/>
      <c r="F236" s="77"/>
      <c r="G236" s="16" t="str">
        <f>VLOOKUP(B236,IF(A236="COMPOSICAO",S!$A:$D,I!$A:$D),3,FALSE)</f>
        <v>H</v>
      </c>
      <c r="H236" s="17">
        <v>1</v>
      </c>
      <c r="I236" s="17">
        <f>IF(A236="COMPOSICAO",VLOOKUP("TOTAL - "&amp;B236,COMPOSICAO_AUX_4!$A:$J,10,FALSE),VLOOKUP(B236,I!$A:$D,4,FALSE))</f>
        <v>1.86</v>
      </c>
      <c r="J236" s="80">
        <f t="shared" si="9"/>
        <v>1.86</v>
      </c>
      <c r="K236" s="81"/>
    </row>
    <row r="237" spans="1:13" ht="15" customHeight="1" x14ac:dyDescent="0.25">
      <c r="A237" s="16" t="s">
        <v>306</v>
      </c>
      <c r="B237" s="20">
        <v>37371</v>
      </c>
      <c r="C237" s="77" t="str">
        <f>VLOOKUP(B237,IF(A237="COMPOSICAO",S!$A:$D,I!$A:$D),2,FALSE)</f>
        <v>TRANSPORTE - HORISTA (COLETADO CAIXA)</v>
      </c>
      <c r="D237" s="77"/>
      <c r="E237" s="77"/>
      <c r="F237" s="77"/>
      <c r="G237" s="16" t="str">
        <f>VLOOKUP(B237,IF(A237="COMPOSICAO",S!$A:$D,I!$A:$D),3,FALSE)</f>
        <v>H</v>
      </c>
      <c r="H237" s="17">
        <v>1</v>
      </c>
      <c r="I237" s="17">
        <f>IF(A237="COMPOSICAO",VLOOKUP("TOTAL - "&amp;B237,COMPOSICAO_AUX_4!$A:$J,10,FALSE),VLOOKUP(B237,I!$A:$D,4,FALSE))</f>
        <v>0.7</v>
      </c>
      <c r="J237" s="80">
        <f t="shared" si="9"/>
        <v>0.7</v>
      </c>
      <c r="K237" s="81"/>
    </row>
    <row r="238" spans="1:13" ht="15" customHeight="1" x14ac:dyDescent="0.25">
      <c r="A238" s="16" t="s">
        <v>306</v>
      </c>
      <c r="B238" s="20">
        <v>37372</v>
      </c>
      <c r="C238" s="77" t="str">
        <f>VLOOKUP(B238,IF(A238="COMPOSICAO",S!$A:$D,I!$A:$D),2,FALSE)</f>
        <v>EXAMES - HORISTA (COLETADO CAIXA)</v>
      </c>
      <c r="D238" s="77"/>
      <c r="E238" s="77"/>
      <c r="F238" s="77"/>
      <c r="G238" s="16" t="str">
        <f>VLOOKUP(B238,IF(A238="COMPOSICAO",S!$A:$D,I!$A:$D),3,FALSE)</f>
        <v>H</v>
      </c>
      <c r="H238" s="17">
        <v>1</v>
      </c>
      <c r="I238" s="17">
        <f>IF(A238="COMPOSICAO",VLOOKUP("TOTAL - "&amp;B238,COMPOSICAO_AUX_4!$A:$J,10,FALSE),VLOOKUP(B238,I!$A:$D,4,FALSE))</f>
        <v>0.55000000000000004</v>
      </c>
      <c r="J238" s="80">
        <f t="shared" si="9"/>
        <v>0.55000000000000004</v>
      </c>
      <c r="K238" s="81"/>
    </row>
    <row r="239" spans="1:13" ht="15" customHeight="1" x14ac:dyDescent="0.25">
      <c r="A239" s="16" t="s">
        <v>306</v>
      </c>
      <c r="B239" s="20">
        <v>37373</v>
      </c>
      <c r="C239" s="77" t="str">
        <f>VLOOKUP(B239,IF(A239="COMPOSICAO",S!$A:$D,I!$A:$D),2,FALSE)</f>
        <v>SEGURO - HORISTA (COLETADO CAIXA)</v>
      </c>
      <c r="D239" s="77"/>
      <c r="E239" s="77"/>
      <c r="F239" s="77"/>
      <c r="G239" s="16" t="str">
        <f>VLOOKUP(B239,IF(A239="COMPOSICAO",S!$A:$D,I!$A:$D),3,FALSE)</f>
        <v>H</v>
      </c>
      <c r="H239" s="17">
        <v>1</v>
      </c>
      <c r="I239" s="17">
        <f>IF(A239="COMPOSICAO",VLOOKUP("TOTAL - "&amp;B239,COMPOSICAO_AUX_4!$A:$J,10,FALSE),VLOOKUP(B239,I!$A:$D,4,FALSE))</f>
        <v>0.06</v>
      </c>
      <c r="J239" s="80">
        <f t="shared" si="9"/>
        <v>0.06</v>
      </c>
      <c r="K239" s="81"/>
    </row>
    <row r="240" spans="1:13" ht="45" customHeight="1" x14ac:dyDescent="0.25">
      <c r="A240" s="16" t="s">
        <v>306</v>
      </c>
      <c r="B240" s="20">
        <v>43459</v>
      </c>
      <c r="C240" s="77" t="str">
        <f>VLOOKUP(B240,IF(A240="COMPOSICAO",S!$A:$D,I!$A:$D),2,FALSE)</f>
        <v>FERRAMENTAS - FAMILIA CARPINTEIRO DE FORMAS - HORISTA (ENCARGOS COMPLEMENTARES - COLETADO CAIXA)</v>
      </c>
      <c r="D240" s="77"/>
      <c r="E240" s="77"/>
      <c r="F240" s="77"/>
      <c r="G240" s="16" t="str">
        <f>VLOOKUP(B240,IF(A240="COMPOSICAO",S!$A:$D,I!$A:$D),3,FALSE)</f>
        <v>H</v>
      </c>
      <c r="H240" s="17">
        <v>1</v>
      </c>
      <c r="I240" s="17">
        <f>IF(A240="COMPOSICAO",VLOOKUP("TOTAL - "&amp;B240,COMPOSICAO_AUX_4!$A:$J,10,FALSE),VLOOKUP(B240,I!$A:$D,4,FALSE))</f>
        <v>0.38</v>
      </c>
      <c r="J240" s="80">
        <f t="shared" si="9"/>
        <v>0.38</v>
      </c>
      <c r="K240" s="81"/>
    </row>
    <row r="241" spans="1:13" ht="30" customHeight="1" x14ac:dyDescent="0.25">
      <c r="A241" s="16" t="s">
        <v>306</v>
      </c>
      <c r="B241" s="20">
        <v>43483</v>
      </c>
      <c r="C241" s="77" t="str">
        <f>VLOOKUP(B241,IF(A241="COMPOSICAO",S!$A:$D,I!$A:$D),2,FALSE)</f>
        <v>EPI - FAMILIA CARPINTEIRO DE FORMAS - HORISTA (ENCARGOS COMPLEMENTARES - COLETADO CAIXA)</v>
      </c>
      <c r="D241" s="77"/>
      <c r="E241" s="77"/>
      <c r="F241" s="77"/>
      <c r="G241" s="16" t="str">
        <f>VLOOKUP(B241,IF(A241="COMPOSICAO",S!$A:$D,I!$A:$D),3,FALSE)</f>
        <v>H</v>
      </c>
      <c r="H241" s="17">
        <v>1</v>
      </c>
      <c r="I241" s="17">
        <f>IF(A241="COMPOSICAO",VLOOKUP("TOTAL - "&amp;B241,COMPOSICAO_AUX_4!$A:$J,10,FALSE),VLOOKUP(B241,I!$A:$D,4,FALSE))</f>
        <v>1.05</v>
      </c>
      <c r="J241" s="80">
        <f t="shared" si="9"/>
        <v>1.05</v>
      </c>
      <c r="K241" s="81"/>
    </row>
    <row r="242" spans="1:13" ht="30" customHeight="1" x14ac:dyDescent="0.25">
      <c r="A242" s="16" t="s">
        <v>302</v>
      </c>
      <c r="B242" s="20">
        <v>95330</v>
      </c>
      <c r="C242" s="77" t="str">
        <f>VLOOKUP(B242,IF(A242="COMPOSICAO",S!$A:$D,I!$A:$D),2,FALSE)</f>
        <v>CURSO DE CAPACITAÇÃO PARA CARPINTEIRO DE FÔRMAS (ENCARGOS COMPLEMENTARES) - HORISTA</v>
      </c>
      <c r="D242" s="77"/>
      <c r="E242" s="77"/>
      <c r="F242" s="77"/>
      <c r="G242" s="16" t="str">
        <f>VLOOKUP(B242,IF(A242="COMPOSICAO",S!$A:$D,I!$A:$D),3,FALSE)</f>
        <v>H</v>
      </c>
      <c r="H242" s="17">
        <v>1</v>
      </c>
      <c r="I242" s="17">
        <f>IF(A242="COMPOSICAO",VLOOKUP("TOTAL - "&amp;B242,COMPOSICAO_AUX_4!$A:$J,10,FALSE),VLOOKUP(B242,I!$A:$D,4,FALSE))</f>
        <v>0.12</v>
      </c>
      <c r="J242" s="80">
        <f t="shared" si="9"/>
        <v>0.12</v>
      </c>
      <c r="K242" s="81"/>
    </row>
    <row r="243" spans="1:13" ht="15" customHeight="1" x14ac:dyDescent="0.25">
      <c r="A243" s="23" t="s">
        <v>507</v>
      </c>
      <c r="B243" s="24"/>
      <c r="C243" s="24"/>
      <c r="D243" s="24"/>
      <c r="E243" s="24"/>
      <c r="F243" s="24"/>
      <c r="G243" s="25"/>
      <c r="H243" s="26"/>
      <c r="I243" s="27"/>
      <c r="J243" s="80">
        <f>SUM(J234:K242)</f>
        <v>19.649999999999999</v>
      </c>
      <c r="K243" s="81"/>
    </row>
    <row r="244" spans="1:13" ht="15" customHeight="1" x14ac:dyDescent="0.25">
      <c r="A244" s="3"/>
      <c r="B244" s="3"/>
      <c r="C244" s="3"/>
      <c r="D244" s="3"/>
      <c r="E244" s="3"/>
      <c r="F244" s="3"/>
      <c r="G244" s="3"/>
      <c r="H244" s="3"/>
      <c r="I244" s="3"/>
      <c r="J244" s="3"/>
      <c r="K244" s="3"/>
    </row>
    <row r="245" spans="1:13" ht="15" customHeight="1" x14ac:dyDescent="0.25">
      <c r="A245" s="10" t="s">
        <v>295</v>
      </c>
      <c r="B245" s="10" t="s">
        <v>31</v>
      </c>
      <c r="C245" s="82" t="s">
        <v>7</v>
      </c>
      <c r="D245" s="83"/>
      <c r="E245" s="83"/>
      <c r="F245" s="83"/>
      <c r="G245" s="6" t="s">
        <v>32</v>
      </c>
      <c r="H245" s="6" t="s">
        <v>296</v>
      </c>
      <c r="I245" s="6" t="s">
        <v>297</v>
      </c>
      <c r="J245" s="57" t="s">
        <v>9</v>
      </c>
      <c r="K245" s="58"/>
    </row>
    <row r="246" spans="1:13" ht="45" customHeight="1" x14ac:dyDescent="0.25">
      <c r="A246" s="6" t="s">
        <v>572</v>
      </c>
      <c r="B246" s="28">
        <v>91692</v>
      </c>
      <c r="C246" s="91" t="str">
        <f>VLOOKUP(B246,S!$A:$D,2,FALSE)</f>
        <v>SERRA CIRCULAR DE BANCADA COM MOTOR ELÉTRICO POTÊNCIA DE 5HP, COM COIFA PARA DISCO 10" - CHP DIURNO. AF_08/2015</v>
      </c>
      <c r="D246" s="91"/>
      <c r="E246" s="91"/>
      <c r="F246" s="92"/>
      <c r="G246" s="6" t="str">
        <f>VLOOKUP(B246,S!$A:$D,3,FALSE)</f>
        <v>CHP</v>
      </c>
      <c r="H246" s="21"/>
      <c r="I246" s="21">
        <f>J252</f>
        <v>27.599999999999998</v>
      </c>
      <c r="J246" s="76"/>
      <c r="K246" s="72"/>
      <c r="L246" s="21">
        <f>VLOOKUP(B246,S!$A:$D,4,FALSE)</f>
        <v>27.6</v>
      </c>
      <c r="M246" s="6" t="str">
        <f>IF(ROUND((L246-I246),2)=0,"OK, confere com a tabela.",IF(ROUND((L246-I246),2)&lt;0,"ACIMA ("&amp;TEXT(ROUND(I246*100/L246,4),"0,0000")&amp;" %) da tabela.","ABAIXO ("&amp;TEXT(ROUND(I246*100/L246,4),"0,0000")&amp;" %) da tabela."))</f>
        <v>OK, confere com a tabela.</v>
      </c>
    </row>
    <row r="247" spans="1:13" ht="30" customHeight="1" x14ac:dyDescent="0.25">
      <c r="A247" s="16" t="s">
        <v>302</v>
      </c>
      <c r="B247" s="20">
        <v>88297</v>
      </c>
      <c r="C247" s="77" t="str">
        <f>VLOOKUP(B247,IF(A247="COMPOSICAO",S!$A:$D,I!$A:$D),2,FALSE)</f>
        <v>OPERADOR DE MÁQUINAS E EQUIPAMENTOS COM ENCARGOS COMPLEMENTARES</v>
      </c>
      <c r="D247" s="77"/>
      <c r="E247" s="77"/>
      <c r="F247" s="77"/>
      <c r="G247" s="16" t="str">
        <f>VLOOKUP(B247,IF(A247="COMPOSICAO",S!$A:$D,I!$A:$D),3,FALSE)</f>
        <v>H</v>
      </c>
      <c r="H247" s="17">
        <v>1</v>
      </c>
      <c r="I247" s="17">
        <f>IF(A247="COMPOSICAO",VLOOKUP("TOTAL - "&amp;B247,COMPOSICAO_AUX_4!$A:$J,10,FALSE),VLOOKUP(B247,I!$A:$D,4,FALSE))</f>
        <v>25.04</v>
      </c>
      <c r="J247" s="80">
        <f>TRUNC(H247*I247,2)</f>
        <v>25.04</v>
      </c>
      <c r="K247" s="81"/>
    </row>
    <row r="248" spans="1:13" ht="45" customHeight="1" x14ac:dyDescent="0.25">
      <c r="A248" s="16" t="s">
        <v>302</v>
      </c>
      <c r="B248" s="20">
        <v>91688</v>
      </c>
      <c r="C248" s="77" t="str">
        <f>VLOOKUP(B248,IF(A248="COMPOSICAO",S!$A:$D,I!$A:$D),2,FALSE)</f>
        <v>SERRA CIRCULAR DE BANCADA COM MOTOR ELÉTRICO POTÊNCIA DE 5HP, COM COIFA PARA DISCO 10" - DEPRECIAÇÃO. AF_08/2015</v>
      </c>
      <c r="D248" s="77"/>
      <c r="E248" s="77"/>
      <c r="F248" s="77"/>
      <c r="G248" s="16" t="str">
        <f>VLOOKUP(B248,IF(A248="COMPOSICAO",S!$A:$D,I!$A:$D),3,FALSE)</f>
        <v>H</v>
      </c>
      <c r="H248" s="17">
        <v>1</v>
      </c>
      <c r="I248" s="17">
        <f>IF(A248="COMPOSICAO",VLOOKUP("TOTAL - "&amp;B248,COMPOSICAO_AUX_4!$A:$J,10,FALSE),VLOOKUP(B248,I!$A:$D,4,FALSE))</f>
        <v>0.09</v>
      </c>
      <c r="J248" s="80">
        <f>TRUNC(H248*I248,2)</f>
        <v>0.09</v>
      </c>
      <c r="K248" s="81"/>
    </row>
    <row r="249" spans="1:13" ht="45" customHeight="1" x14ac:dyDescent="0.25">
      <c r="A249" s="16" t="s">
        <v>302</v>
      </c>
      <c r="B249" s="20">
        <v>91689</v>
      </c>
      <c r="C249" s="77" t="str">
        <f>VLOOKUP(B249,IF(A249="COMPOSICAO",S!$A:$D,I!$A:$D),2,FALSE)</f>
        <v>SERRA CIRCULAR DE BANCADA COM MOTOR ELÉTRICO POTÊNCIA DE 5HP, COM COIFA PARA DISCO 10" - JUROS. AF_08/2015</v>
      </c>
      <c r="D249" s="77"/>
      <c r="E249" s="77"/>
      <c r="F249" s="77"/>
      <c r="G249" s="16" t="str">
        <f>VLOOKUP(B249,IF(A249="COMPOSICAO",S!$A:$D,I!$A:$D),3,FALSE)</f>
        <v>H</v>
      </c>
      <c r="H249" s="17">
        <v>1</v>
      </c>
      <c r="I249" s="17">
        <f>IF(A249="COMPOSICAO",VLOOKUP("TOTAL - "&amp;B249,COMPOSICAO_AUX_4!$A:$J,10,FALSE),VLOOKUP(B249,I!$A:$D,4,FALSE))</f>
        <v>0.01</v>
      </c>
      <c r="J249" s="80">
        <f>TRUNC(H249*I249,2)</f>
        <v>0.01</v>
      </c>
      <c r="K249" s="81"/>
    </row>
    <row r="250" spans="1:13" ht="45" customHeight="1" x14ac:dyDescent="0.25">
      <c r="A250" s="16" t="s">
        <v>302</v>
      </c>
      <c r="B250" s="20">
        <v>91690</v>
      </c>
      <c r="C250" s="77" t="str">
        <f>VLOOKUP(B250,IF(A250="COMPOSICAO",S!$A:$D,I!$A:$D),2,FALSE)</f>
        <v>SERRA CIRCULAR DE BANCADA COM MOTOR ELÉTRICO POTÊNCIA DE 5HP, COM COIFA PARA DISCO 10" - MANUTENÇÃO. AF_08/2015</v>
      </c>
      <c r="D250" s="77"/>
      <c r="E250" s="77"/>
      <c r="F250" s="77"/>
      <c r="G250" s="16" t="str">
        <f>VLOOKUP(B250,IF(A250="COMPOSICAO",S!$A:$D,I!$A:$D),3,FALSE)</f>
        <v>H</v>
      </c>
      <c r="H250" s="17">
        <v>1</v>
      </c>
      <c r="I250" s="17">
        <f>IF(A250="COMPOSICAO",VLOOKUP("TOTAL - "&amp;B250,COMPOSICAO_AUX_4!$A:$J,10,FALSE),VLOOKUP(B250,I!$A:$D,4,FALSE))</f>
        <v>0.06</v>
      </c>
      <c r="J250" s="80">
        <f>TRUNC(H250*I250,2)</f>
        <v>0.06</v>
      </c>
      <c r="K250" s="81"/>
    </row>
    <row r="251" spans="1:13" ht="45" customHeight="1" x14ac:dyDescent="0.25">
      <c r="A251" s="16" t="s">
        <v>302</v>
      </c>
      <c r="B251" s="20">
        <v>91691</v>
      </c>
      <c r="C251" s="77" t="str">
        <f>VLOOKUP(B251,IF(A251="COMPOSICAO",S!$A:$D,I!$A:$D),2,FALSE)</f>
        <v>SERRA CIRCULAR DE BANCADA COM MOTOR ELÉTRICO POTÊNCIA DE 5HP, COM COIFA PARA DISCO 10" - MATERIAIS NA OPERAÇÃO. AF_08/2015</v>
      </c>
      <c r="D251" s="77"/>
      <c r="E251" s="77"/>
      <c r="F251" s="77"/>
      <c r="G251" s="16" t="str">
        <f>VLOOKUP(B251,IF(A251="COMPOSICAO",S!$A:$D,I!$A:$D),3,FALSE)</f>
        <v>H</v>
      </c>
      <c r="H251" s="17">
        <v>1</v>
      </c>
      <c r="I251" s="17">
        <f>IF(A251="COMPOSICAO",VLOOKUP("TOTAL - "&amp;B251,COMPOSICAO_AUX_4!$A:$J,10,FALSE),VLOOKUP(B251,I!$A:$D,4,FALSE))</f>
        <v>2.4</v>
      </c>
      <c r="J251" s="80">
        <f>TRUNC(H251*I251,2)</f>
        <v>2.4</v>
      </c>
      <c r="K251" s="81"/>
    </row>
    <row r="252" spans="1:13" ht="15" customHeight="1" x14ac:dyDescent="0.25">
      <c r="A252" s="23" t="s">
        <v>780</v>
      </c>
      <c r="B252" s="24"/>
      <c r="C252" s="24"/>
      <c r="D252" s="24"/>
      <c r="E252" s="24"/>
      <c r="F252" s="24"/>
      <c r="G252" s="25"/>
      <c r="H252" s="26"/>
      <c r="I252" s="27"/>
      <c r="J252" s="80">
        <f>SUM(J246:K251)</f>
        <v>27.599999999999998</v>
      </c>
      <c r="K252" s="81"/>
    </row>
    <row r="253" spans="1:13" ht="15" customHeight="1" x14ac:dyDescent="0.25">
      <c r="A253" s="3"/>
      <c r="B253" s="3"/>
      <c r="C253" s="3"/>
      <c r="D253" s="3"/>
      <c r="E253" s="3"/>
      <c r="F253" s="3"/>
      <c r="G253" s="3"/>
      <c r="H253" s="3"/>
      <c r="I253" s="3"/>
      <c r="J253" s="3"/>
      <c r="K253" s="3"/>
    </row>
    <row r="254" spans="1:13" ht="15" customHeight="1" x14ac:dyDescent="0.25">
      <c r="A254" s="10" t="s">
        <v>295</v>
      </c>
      <c r="B254" s="10" t="s">
        <v>31</v>
      </c>
      <c r="C254" s="82" t="s">
        <v>7</v>
      </c>
      <c r="D254" s="83"/>
      <c r="E254" s="83"/>
      <c r="F254" s="83"/>
      <c r="G254" s="6" t="s">
        <v>32</v>
      </c>
      <c r="H254" s="6" t="s">
        <v>296</v>
      </c>
      <c r="I254" s="6" t="s">
        <v>297</v>
      </c>
      <c r="J254" s="57" t="s">
        <v>9</v>
      </c>
      <c r="K254" s="58"/>
    </row>
    <row r="255" spans="1:13" ht="45" customHeight="1" x14ac:dyDescent="0.25">
      <c r="A255" s="6" t="s">
        <v>572</v>
      </c>
      <c r="B255" s="28">
        <v>91693</v>
      </c>
      <c r="C255" s="91" t="str">
        <f>VLOOKUP(B255,S!$A:$D,2,FALSE)</f>
        <v>SERRA CIRCULAR DE BANCADA COM MOTOR ELÉTRICO POTÊNCIA DE 5HP, COM COIFA PARA DISCO 10" - CHI DIURNO. AF_08/2015</v>
      </c>
      <c r="D255" s="91"/>
      <c r="E255" s="91"/>
      <c r="F255" s="92"/>
      <c r="G255" s="6" t="str">
        <f>VLOOKUP(B255,S!$A:$D,3,FALSE)</f>
        <v>CHI</v>
      </c>
      <c r="H255" s="21"/>
      <c r="I255" s="21">
        <f>J259</f>
        <v>25.14</v>
      </c>
      <c r="J255" s="76"/>
      <c r="K255" s="72"/>
      <c r="L255" s="21">
        <f>VLOOKUP(B255,S!$A:$D,4,FALSE)</f>
        <v>25.14</v>
      </c>
      <c r="M255" s="6" t="str">
        <f>IF(ROUND((L255-I255),2)=0,"OK, confere com a tabela.",IF(ROUND((L255-I255),2)&lt;0,"ACIMA ("&amp;TEXT(ROUND(I255*100/L255,4),"0,0000")&amp;" %) da tabela.","ABAIXO ("&amp;TEXT(ROUND(I255*100/L255,4),"0,0000")&amp;" %) da tabela."))</f>
        <v>OK, confere com a tabela.</v>
      </c>
    </row>
    <row r="256" spans="1:13" ht="30" customHeight="1" x14ac:dyDescent="0.25">
      <c r="A256" s="16" t="s">
        <v>302</v>
      </c>
      <c r="B256" s="20">
        <v>88297</v>
      </c>
      <c r="C256" s="77" t="str">
        <f>VLOOKUP(B256,IF(A256="COMPOSICAO",S!$A:$D,I!$A:$D),2,FALSE)</f>
        <v>OPERADOR DE MÁQUINAS E EQUIPAMENTOS COM ENCARGOS COMPLEMENTARES</v>
      </c>
      <c r="D256" s="77"/>
      <c r="E256" s="77"/>
      <c r="F256" s="77"/>
      <c r="G256" s="16" t="str">
        <f>VLOOKUP(B256,IF(A256="COMPOSICAO",S!$A:$D,I!$A:$D),3,FALSE)</f>
        <v>H</v>
      </c>
      <c r="H256" s="17">
        <v>1</v>
      </c>
      <c r="I256" s="17">
        <f>IF(A256="COMPOSICAO",VLOOKUP("TOTAL - "&amp;B256,COMPOSICAO_AUX_4!$A:$J,10,FALSE),VLOOKUP(B256,I!$A:$D,4,FALSE))</f>
        <v>25.04</v>
      </c>
      <c r="J256" s="80">
        <f>TRUNC(H256*I256,2)</f>
        <v>25.04</v>
      </c>
      <c r="K256" s="81"/>
    </row>
    <row r="257" spans="1:13" ht="45" customHeight="1" x14ac:dyDescent="0.25">
      <c r="A257" s="16" t="s">
        <v>302</v>
      </c>
      <c r="B257" s="20">
        <v>91688</v>
      </c>
      <c r="C257" s="77" t="str">
        <f>VLOOKUP(B257,IF(A257="COMPOSICAO",S!$A:$D,I!$A:$D),2,FALSE)</f>
        <v>SERRA CIRCULAR DE BANCADA COM MOTOR ELÉTRICO POTÊNCIA DE 5HP, COM COIFA PARA DISCO 10" - DEPRECIAÇÃO. AF_08/2015</v>
      </c>
      <c r="D257" s="77"/>
      <c r="E257" s="77"/>
      <c r="F257" s="77"/>
      <c r="G257" s="16" t="str">
        <f>VLOOKUP(B257,IF(A257="COMPOSICAO",S!$A:$D,I!$A:$D),3,FALSE)</f>
        <v>H</v>
      </c>
      <c r="H257" s="17">
        <v>1</v>
      </c>
      <c r="I257" s="17">
        <f>IF(A257="COMPOSICAO",VLOOKUP("TOTAL - "&amp;B257,COMPOSICAO_AUX_4!$A:$J,10,FALSE),VLOOKUP(B257,I!$A:$D,4,FALSE))</f>
        <v>0.09</v>
      </c>
      <c r="J257" s="80">
        <f>TRUNC(H257*I257,2)</f>
        <v>0.09</v>
      </c>
      <c r="K257" s="81"/>
    </row>
    <row r="258" spans="1:13" ht="45" customHeight="1" x14ac:dyDescent="0.25">
      <c r="A258" s="16" t="s">
        <v>302</v>
      </c>
      <c r="B258" s="20">
        <v>91689</v>
      </c>
      <c r="C258" s="77" t="str">
        <f>VLOOKUP(B258,IF(A258="COMPOSICAO",S!$A:$D,I!$A:$D),2,FALSE)</f>
        <v>SERRA CIRCULAR DE BANCADA COM MOTOR ELÉTRICO POTÊNCIA DE 5HP, COM COIFA PARA DISCO 10" - JUROS. AF_08/2015</v>
      </c>
      <c r="D258" s="77"/>
      <c r="E258" s="77"/>
      <c r="F258" s="77"/>
      <c r="G258" s="16" t="str">
        <f>VLOOKUP(B258,IF(A258="COMPOSICAO",S!$A:$D,I!$A:$D),3,FALSE)</f>
        <v>H</v>
      </c>
      <c r="H258" s="17">
        <v>1</v>
      </c>
      <c r="I258" s="17">
        <f>IF(A258="COMPOSICAO",VLOOKUP("TOTAL - "&amp;B258,COMPOSICAO_AUX_4!$A:$J,10,FALSE),VLOOKUP(B258,I!$A:$D,4,FALSE))</f>
        <v>0.01</v>
      </c>
      <c r="J258" s="80">
        <f>TRUNC(H258*I258,2)</f>
        <v>0.01</v>
      </c>
      <c r="K258" s="81"/>
    </row>
    <row r="259" spans="1:13" ht="15" customHeight="1" x14ac:dyDescent="0.25">
      <c r="A259" s="23" t="s">
        <v>781</v>
      </c>
      <c r="B259" s="24"/>
      <c r="C259" s="24"/>
      <c r="D259" s="24"/>
      <c r="E259" s="24"/>
      <c r="F259" s="24"/>
      <c r="G259" s="25"/>
      <c r="H259" s="26"/>
      <c r="I259" s="27"/>
      <c r="J259" s="80">
        <f>SUM(J255:K258)</f>
        <v>25.14</v>
      </c>
      <c r="K259" s="81"/>
    </row>
    <row r="260" spans="1:13" ht="15" customHeight="1" x14ac:dyDescent="0.25">
      <c r="A260" s="3"/>
      <c r="B260" s="3"/>
      <c r="C260" s="3"/>
      <c r="D260" s="3"/>
      <c r="E260" s="3"/>
      <c r="F260" s="3"/>
      <c r="G260" s="3"/>
      <c r="H260" s="3"/>
      <c r="I260" s="3"/>
      <c r="J260" s="3"/>
      <c r="K260" s="3"/>
    </row>
    <row r="261" spans="1:13" ht="15" customHeight="1" x14ac:dyDescent="0.25">
      <c r="A261" s="10" t="s">
        <v>295</v>
      </c>
      <c r="B261" s="10" t="s">
        <v>31</v>
      </c>
      <c r="C261" s="82" t="s">
        <v>7</v>
      </c>
      <c r="D261" s="83"/>
      <c r="E261" s="83"/>
      <c r="F261" s="83"/>
      <c r="G261" s="6" t="s">
        <v>32</v>
      </c>
      <c r="H261" s="6" t="s">
        <v>296</v>
      </c>
      <c r="I261" s="6" t="s">
        <v>297</v>
      </c>
      <c r="J261" s="57" t="s">
        <v>9</v>
      </c>
      <c r="K261" s="58"/>
    </row>
    <row r="262" spans="1:13" ht="30" customHeight="1" x14ac:dyDescent="0.25">
      <c r="A262" s="6" t="s">
        <v>502</v>
      </c>
      <c r="B262" s="28">
        <v>95308</v>
      </c>
      <c r="C262" s="91" t="str">
        <f>VLOOKUP(B262,S!$A:$D,2,FALSE)</f>
        <v>CURSO DE CAPACITAÇÃO PARA AJUDANTE DE ARMADOR (ENCARGOS COMPLEMENTARES) - HORISTA</v>
      </c>
      <c r="D262" s="91"/>
      <c r="E262" s="91"/>
      <c r="F262" s="92"/>
      <c r="G262" s="6" t="str">
        <f>VLOOKUP(B262,S!$A:$D,3,FALSE)</f>
        <v>H</v>
      </c>
      <c r="H262" s="21"/>
      <c r="I262" s="21">
        <f>J264</f>
        <v>0.08</v>
      </c>
      <c r="J262" s="76"/>
      <c r="K262" s="72"/>
      <c r="L262" s="21">
        <f>VLOOKUP(B262,S!$A:$D,4,FALSE)</f>
        <v>0.08</v>
      </c>
      <c r="M262" s="6" t="str">
        <f>IF(ROUND((L262-I262),2)=0,"OK, confere com a tabela.",IF(ROUND((L262-I262),2)&lt;0,"ACIMA ("&amp;TEXT(ROUND(I262*100/L262,4),"0,0000")&amp;" %) da tabela.","ABAIXO ("&amp;TEXT(ROUND(I262*100/L262,4),"0,0000")&amp;" %) da tabela."))</f>
        <v>OK, confere com a tabela.</v>
      </c>
    </row>
    <row r="263" spans="1:13" ht="15" customHeight="1" x14ac:dyDescent="0.25">
      <c r="A263" s="16" t="s">
        <v>306</v>
      </c>
      <c r="B263" s="20">
        <v>6114</v>
      </c>
      <c r="C263" s="77" t="str">
        <f>VLOOKUP(B263,IF(A263="COMPOSICAO",S!$A:$D,I!$A:$D),2,FALSE)</f>
        <v>AJUDANTE DE ARMADOR</v>
      </c>
      <c r="D263" s="77"/>
      <c r="E263" s="77"/>
      <c r="F263" s="77"/>
      <c r="G263" s="16" t="str">
        <f>VLOOKUP(B263,IF(A263="COMPOSICAO",S!$A:$D,I!$A:$D),3,FALSE)</f>
        <v>H</v>
      </c>
      <c r="H263" s="29">
        <v>8.2000000000000007E-3</v>
      </c>
      <c r="I263" s="17">
        <f>IF(A263="COMPOSICAO",VLOOKUP("TOTAL - "&amp;B263,COMPOSICAO_AUX_4!$A:$J,10,FALSE),VLOOKUP(B263,I!$A:$D,4,FALSE))</f>
        <v>10.41</v>
      </c>
      <c r="J263" s="80">
        <f>TRUNC(H263*I263,2)</f>
        <v>0.08</v>
      </c>
      <c r="K263" s="81"/>
    </row>
    <row r="264" spans="1:13" ht="15" customHeight="1" x14ac:dyDescent="0.25">
      <c r="A264" s="23" t="s">
        <v>829</v>
      </c>
      <c r="B264" s="24"/>
      <c r="C264" s="24"/>
      <c r="D264" s="24"/>
      <c r="E264" s="24"/>
      <c r="F264" s="24"/>
      <c r="G264" s="25"/>
      <c r="H264" s="26"/>
      <c r="I264" s="27"/>
      <c r="J264" s="80">
        <f>SUM(J262:K263)</f>
        <v>0.08</v>
      </c>
      <c r="K264" s="81"/>
    </row>
    <row r="265" spans="1:13" ht="15" customHeight="1" x14ac:dyDescent="0.25">
      <c r="A265" s="3"/>
      <c r="B265" s="3"/>
      <c r="C265" s="3"/>
      <c r="D265" s="3"/>
      <c r="E265" s="3"/>
      <c r="F265" s="3"/>
      <c r="G265" s="3"/>
      <c r="H265" s="3"/>
      <c r="I265" s="3"/>
      <c r="J265" s="3"/>
      <c r="K265" s="3"/>
    </row>
    <row r="266" spans="1:13" ht="15" customHeight="1" x14ac:dyDescent="0.25">
      <c r="A266" s="10" t="s">
        <v>295</v>
      </c>
      <c r="B266" s="10" t="s">
        <v>31</v>
      </c>
      <c r="C266" s="82" t="s">
        <v>7</v>
      </c>
      <c r="D266" s="83"/>
      <c r="E266" s="83"/>
      <c r="F266" s="83"/>
      <c r="G266" s="6" t="s">
        <v>32</v>
      </c>
      <c r="H266" s="6" t="s">
        <v>296</v>
      </c>
      <c r="I266" s="6" t="s">
        <v>297</v>
      </c>
      <c r="J266" s="57" t="s">
        <v>9</v>
      </c>
      <c r="K266" s="58"/>
    </row>
    <row r="267" spans="1:13" ht="30" customHeight="1" x14ac:dyDescent="0.25">
      <c r="A267" s="6" t="s">
        <v>502</v>
      </c>
      <c r="B267" s="28">
        <v>95314</v>
      </c>
      <c r="C267" s="91" t="str">
        <f>VLOOKUP(B267,S!$A:$D,2,FALSE)</f>
        <v>CURSO DE CAPACITAÇÃO PARA ARMADOR (ENCARGOS COMPLEMENTARES) - HORISTA</v>
      </c>
      <c r="D267" s="91"/>
      <c r="E267" s="91"/>
      <c r="F267" s="92"/>
      <c r="G267" s="6" t="str">
        <f>VLOOKUP(B267,S!$A:$D,3,FALSE)</f>
        <v>H</v>
      </c>
      <c r="H267" s="21"/>
      <c r="I267" s="21">
        <f>J269</f>
        <v>0.12</v>
      </c>
      <c r="J267" s="76"/>
      <c r="K267" s="72"/>
      <c r="L267" s="21">
        <f>VLOOKUP(B267,S!$A:$D,4,FALSE)</f>
        <v>0.12</v>
      </c>
      <c r="M267" s="6" t="str">
        <f>IF(ROUND((L267-I267),2)=0,"OK, confere com a tabela.",IF(ROUND((L267-I267),2)&lt;0,"ACIMA ("&amp;TEXT(ROUND(I267*100/L267,4),"0,0000")&amp;" %) da tabela.","ABAIXO ("&amp;TEXT(ROUND(I267*100/L267,4),"0,0000")&amp;" %) da tabela."))</f>
        <v>OK, confere com a tabela.</v>
      </c>
    </row>
    <row r="268" spans="1:13" ht="15" customHeight="1" x14ac:dyDescent="0.25">
      <c r="A268" s="16" t="s">
        <v>306</v>
      </c>
      <c r="B268" s="20">
        <v>378</v>
      </c>
      <c r="C268" s="77" t="str">
        <f>VLOOKUP(B268,IF(A268="COMPOSICAO",S!$A:$D,I!$A:$D),2,FALSE)</f>
        <v>ARMADOR</v>
      </c>
      <c r="D268" s="77"/>
      <c r="E268" s="77"/>
      <c r="F268" s="77"/>
      <c r="G268" s="16" t="str">
        <f>VLOOKUP(B268,IF(A268="COMPOSICAO",S!$A:$D,I!$A:$D),3,FALSE)</f>
        <v>H</v>
      </c>
      <c r="H268" s="29">
        <v>8.2000000000000007E-3</v>
      </c>
      <c r="I268" s="17">
        <f>IF(A268="COMPOSICAO",VLOOKUP("TOTAL - "&amp;B268,COMPOSICAO_AUX_4!$A:$J,10,FALSE),VLOOKUP(B268,I!$A:$D,4,FALSE))</f>
        <v>14.93</v>
      </c>
      <c r="J268" s="80">
        <f>TRUNC(H268*I268,2)</f>
        <v>0.12</v>
      </c>
      <c r="K268" s="81"/>
    </row>
    <row r="269" spans="1:13" ht="15" customHeight="1" x14ac:dyDescent="0.25">
      <c r="A269" s="23" t="s">
        <v>830</v>
      </c>
      <c r="B269" s="24"/>
      <c r="C269" s="24"/>
      <c r="D269" s="24"/>
      <c r="E269" s="24"/>
      <c r="F269" s="24"/>
      <c r="G269" s="25"/>
      <c r="H269" s="26"/>
      <c r="I269" s="27"/>
      <c r="J269" s="80">
        <f>SUM(J267:K268)</f>
        <v>0.12</v>
      </c>
      <c r="K269" s="81"/>
    </row>
    <row r="270" spans="1:13" ht="15" customHeight="1" x14ac:dyDescent="0.25">
      <c r="A270" s="3"/>
      <c r="B270" s="3"/>
      <c r="C270" s="3"/>
      <c r="D270" s="3"/>
      <c r="E270" s="3"/>
      <c r="F270" s="3"/>
      <c r="G270" s="3"/>
      <c r="H270" s="3"/>
      <c r="I270" s="3"/>
      <c r="J270" s="3"/>
      <c r="K270" s="3"/>
    </row>
    <row r="271" spans="1:13" ht="15" customHeight="1" x14ac:dyDescent="0.25">
      <c r="A271" s="10" t="s">
        <v>295</v>
      </c>
      <c r="B271" s="10" t="s">
        <v>31</v>
      </c>
      <c r="C271" s="82" t="s">
        <v>7</v>
      </c>
      <c r="D271" s="83"/>
      <c r="E271" s="83"/>
      <c r="F271" s="83"/>
      <c r="G271" s="6" t="s">
        <v>32</v>
      </c>
      <c r="H271" s="6" t="s">
        <v>296</v>
      </c>
      <c r="I271" s="6" t="s">
        <v>297</v>
      </c>
      <c r="J271" s="57" t="s">
        <v>9</v>
      </c>
      <c r="K271" s="58"/>
    </row>
    <row r="272" spans="1:13" ht="30" customHeight="1" x14ac:dyDescent="0.25">
      <c r="A272" s="6" t="s">
        <v>502</v>
      </c>
      <c r="B272" s="28">
        <v>88238</v>
      </c>
      <c r="C272" s="91" t="str">
        <f>VLOOKUP(B272,S!$A:$D,2,FALSE)</f>
        <v>AJUDANTE DE ARMADOR COM ENCARGOS COMPLEMENTARES</v>
      </c>
      <c r="D272" s="91"/>
      <c r="E272" s="91"/>
      <c r="F272" s="92"/>
      <c r="G272" s="6" t="str">
        <f>VLOOKUP(B272,S!$A:$D,3,FALSE)</f>
        <v>H</v>
      </c>
      <c r="H272" s="21"/>
      <c r="I272" s="21">
        <f>J281</f>
        <v>15.19</v>
      </c>
      <c r="J272" s="76"/>
      <c r="K272" s="72"/>
      <c r="L272" s="21">
        <f>VLOOKUP(B272,S!$A:$D,4,FALSE)</f>
        <v>15.19</v>
      </c>
      <c r="M272" s="6" t="str">
        <f>IF(ROUND((L272-I272),2)=0,"OK, confere com a tabela.",IF(ROUND((L272-I272),2)&lt;0,"ACIMA ("&amp;TEXT(ROUND(I272*100/L272,4),"0,0000")&amp;" %) da tabela.","ABAIXO ("&amp;TEXT(ROUND(I272*100/L272,4),"0,0000")&amp;" %) da tabela."))</f>
        <v>OK, confere com a tabela.</v>
      </c>
    </row>
    <row r="273" spans="1:13" ht="15" customHeight="1" x14ac:dyDescent="0.25">
      <c r="A273" s="16" t="s">
        <v>306</v>
      </c>
      <c r="B273" s="20">
        <v>6114</v>
      </c>
      <c r="C273" s="77" t="str">
        <f>VLOOKUP(B273,IF(A273="COMPOSICAO",S!$A:$D,I!$A:$D),2,FALSE)</f>
        <v>AJUDANTE DE ARMADOR</v>
      </c>
      <c r="D273" s="77"/>
      <c r="E273" s="77"/>
      <c r="F273" s="77"/>
      <c r="G273" s="16" t="str">
        <f>VLOOKUP(B273,IF(A273="COMPOSICAO",S!$A:$D,I!$A:$D),3,FALSE)</f>
        <v>H</v>
      </c>
      <c r="H273" s="17">
        <v>1</v>
      </c>
      <c r="I273" s="17">
        <f>IF(A273="COMPOSICAO",VLOOKUP("TOTAL - "&amp;B273,COMPOSICAO_AUX_4!$A:$J,10,FALSE),VLOOKUP(B273,I!$A:$D,4,FALSE))</f>
        <v>10.41</v>
      </c>
      <c r="J273" s="80">
        <f t="shared" ref="J273:J280" si="10">TRUNC(H273*I273,2)</f>
        <v>10.41</v>
      </c>
      <c r="K273" s="81"/>
    </row>
    <row r="274" spans="1:13" ht="15" customHeight="1" x14ac:dyDescent="0.25">
      <c r="A274" s="16" t="s">
        <v>306</v>
      </c>
      <c r="B274" s="20">
        <v>37370</v>
      </c>
      <c r="C274" s="77" t="str">
        <f>VLOOKUP(B274,IF(A274="COMPOSICAO",S!$A:$D,I!$A:$D),2,FALSE)</f>
        <v>ALIMENTACAO - HORISTA (COLETADO CAIXA)</v>
      </c>
      <c r="D274" s="77"/>
      <c r="E274" s="77"/>
      <c r="F274" s="77"/>
      <c r="G274" s="16" t="str">
        <f>VLOOKUP(B274,IF(A274="COMPOSICAO",S!$A:$D,I!$A:$D),3,FALSE)</f>
        <v>H</v>
      </c>
      <c r="H274" s="17">
        <v>1</v>
      </c>
      <c r="I274" s="17">
        <f>IF(A274="COMPOSICAO",VLOOKUP("TOTAL - "&amp;B274,COMPOSICAO_AUX_4!$A:$J,10,FALSE),VLOOKUP(B274,I!$A:$D,4,FALSE))</f>
        <v>1.86</v>
      </c>
      <c r="J274" s="80">
        <f t="shared" si="10"/>
        <v>1.86</v>
      </c>
      <c r="K274" s="81"/>
    </row>
    <row r="275" spans="1:13" ht="15" customHeight="1" x14ac:dyDescent="0.25">
      <c r="A275" s="16" t="s">
        <v>306</v>
      </c>
      <c r="B275" s="20">
        <v>37371</v>
      </c>
      <c r="C275" s="77" t="str">
        <f>VLOOKUP(B275,IF(A275="COMPOSICAO",S!$A:$D,I!$A:$D),2,FALSE)</f>
        <v>TRANSPORTE - HORISTA (COLETADO CAIXA)</v>
      </c>
      <c r="D275" s="77"/>
      <c r="E275" s="77"/>
      <c r="F275" s="77"/>
      <c r="G275" s="16" t="str">
        <f>VLOOKUP(B275,IF(A275="COMPOSICAO",S!$A:$D,I!$A:$D),3,FALSE)</f>
        <v>H</v>
      </c>
      <c r="H275" s="17">
        <v>1</v>
      </c>
      <c r="I275" s="17">
        <f>IF(A275="COMPOSICAO",VLOOKUP("TOTAL - "&amp;B275,COMPOSICAO_AUX_4!$A:$J,10,FALSE),VLOOKUP(B275,I!$A:$D,4,FALSE))</f>
        <v>0.7</v>
      </c>
      <c r="J275" s="80">
        <f t="shared" si="10"/>
        <v>0.7</v>
      </c>
      <c r="K275" s="81"/>
    </row>
    <row r="276" spans="1:13" ht="15" customHeight="1" x14ac:dyDescent="0.25">
      <c r="A276" s="16" t="s">
        <v>306</v>
      </c>
      <c r="B276" s="20">
        <v>37372</v>
      </c>
      <c r="C276" s="77" t="str">
        <f>VLOOKUP(B276,IF(A276="COMPOSICAO",S!$A:$D,I!$A:$D),2,FALSE)</f>
        <v>EXAMES - HORISTA (COLETADO CAIXA)</v>
      </c>
      <c r="D276" s="77"/>
      <c r="E276" s="77"/>
      <c r="F276" s="77"/>
      <c r="G276" s="16" t="str">
        <f>VLOOKUP(B276,IF(A276="COMPOSICAO",S!$A:$D,I!$A:$D),3,FALSE)</f>
        <v>H</v>
      </c>
      <c r="H276" s="17">
        <v>1</v>
      </c>
      <c r="I276" s="17">
        <f>IF(A276="COMPOSICAO",VLOOKUP("TOTAL - "&amp;B276,COMPOSICAO_AUX_4!$A:$J,10,FALSE),VLOOKUP(B276,I!$A:$D,4,FALSE))</f>
        <v>0.55000000000000004</v>
      </c>
      <c r="J276" s="80">
        <f t="shared" si="10"/>
        <v>0.55000000000000004</v>
      </c>
      <c r="K276" s="81"/>
    </row>
    <row r="277" spans="1:13" ht="15" customHeight="1" x14ac:dyDescent="0.25">
      <c r="A277" s="16" t="s">
        <v>306</v>
      </c>
      <c r="B277" s="20">
        <v>37373</v>
      </c>
      <c r="C277" s="77" t="str">
        <f>VLOOKUP(B277,IF(A277="COMPOSICAO",S!$A:$D,I!$A:$D),2,FALSE)</f>
        <v>SEGURO - HORISTA (COLETADO CAIXA)</v>
      </c>
      <c r="D277" s="77"/>
      <c r="E277" s="77"/>
      <c r="F277" s="77"/>
      <c r="G277" s="16" t="str">
        <f>VLOOKUP(B277,IF(A277="COMPOSICAO",S!$A:$D,I!$A:$D),3,FALSE)</f>
        <v>H</v>
      </c>
      <c r="H277" s="17">
        <v>1</v>
      </c>
      <c r="I277" s="17">
        <f>IF(A277="COMPOSICAO",VLOOKUP("TOTAL - "&amp;B277,COMPOSICAO_AUX_4!$A:$J,10,FALSE),VLOOKUP(B277,I!$A:$D,4,FALSE))</f>
        <v>0.06</v>
      </c>
      <c r="J277" s="80">
        <f t="shared" si="10"/>
        <v>0.06</v>
      </c>
      <c r="K277" s="81"/>
    </row>
    <row r="278" spans="1:13" ht="30" customHeight="1" x14ac:dyDescent="0.25">
      <c r="A278" s="16" t="s">
        <v>306</v>
      </c>
      <c r="B278" s="20">
        <v>43465</v>
      </c>
      <c r="C278" s="77" t="str">
        <f>VLOOKUP(B278,IF(A278="COMPOSICAO",S!$A:$D,I!$A:$D),2,FALSE)</f>
        <v>FERRAMENTAS - FAMILIA PEDREIRO - HORISTA (ENCARGOS COMPLEMENTARES - COLETADO CAIXA)</v>
      </c>
      <c r="D278" s="77"/>
      <c r="E278" s="77"/>
      <c r="F278" s="77"/>
      <c r="G278" s="16" t="str">
        <f>VLOOKUP(B278,IF(A278="COMPOSICAO",S!$A:$D,I!$A:$D),3,FALSE)</f>
        <v>H</v>
      </c>
      <c r="H278" s="17">
        <v>1</v>
      </c>
      <c r="I278" s="17">
        <f>IF(A278="COMPOSICAO",VLOOKUP("TOTAL - "&amp;B278,COMPOSICAO_AUX_4!$A:$J,10,FALSE),VLOOKUP(B278,I!$A:$D,4,FALSE))</f>
        <v>0.57999999999999996</v>
      </c>
      <c r="J278" s="80">
        <f t="shared" si="10"/>
        <v>0.57999999999999996</v>
      </c>
      <c r="K278" s="81"/>
    </row>
    <row r="279" spans="1:13" ht="30" customHeight="1" x14ac:dyDescent="0.25">
      <c r="A279" s="16" t="s">
        <v>306</v>
      </c>
      <c r="B279" s="20">
        <v>43489</v>
      </c>
      <c r="C279" s="77" t="str">
        <f>VLOOKUP(B279,IF(A279="COMPOSICAO",S!$A:$D,I!$A:$D),2,FALSE)</f>
        <v>EPI - FAMILIA PEDREIRO - HORISTA (ENCARGOS COMPLEMENTARES - COLETADO CAIXA)</v>
      </c>
      <c r="D279" s="77"/>
      <c r="E279" s="77"/>
      <c r="F279" s="77"/>
      <c r="G279" s="16" t="str">
        <f>VLOOKUP(B279,IF(A279="COMPOSICAO",S!$A:$D,I!$A:$D),3,FALSE)</f>
        <v>H</v>
      </c>
      <c r="H279" s="17">
        <v>1</v>
      </c>
      <c r="I279" s="17">
        <f>IF(A279="COMPOSICAO",VLOOKUP("TOTAL - "&amp;B279,COMPOSICAO_AUX_4!$A:$J,10,FALSE),VLOOKUP(B279,I!$A:$D,4,FALSE))</f>
        <v>0.95</v>
      </c>
      <c r="J279" s="80">
        <f t="shared" si="10"/>
        <v>0.95</v>
      </c>
      <c r="K279" s="81"/>
    </row>
    <row r="280" spans="1:13" ht="30" customHeight="1" x14ac:dyDescent="0.25">
      <c r="A280" s="16" t="s">
        <v>302</v>
      </c>
      <c r="B280" s="20">
        <v>95308</v>
      </c>
      <c r="C280" s="77" t="str">
        <f>VLOOKUP(B280,IF(A280="COMPOSICAO",S!$A:$D,I!$A:$D),2,FALSE)</f>
        <v>CURSO DE CAPACITAÇÃO PARA AJUDANTE DE ARMADOR (ENCARGOS COMPLEMENTARES) - HORISTA</v>
      </c>
      <c r="D280" s="77"/>
      <c r="E280" s="77"/>
      <c r="F280" s="77"/>
      <c r="G280" s="16" t="str">
        <f>VLOOKUP(B280,IF(A280="COMPOSICAO",S!$A:$D,I!$A:$D),3,FALSE)</f>
        <v>H</v>
      </c>
      <c r="H280" s="17">
        <v>1</v>
      </c>
      <c r="I280" s="17">
        <f>IF(A280="COMPOSICAO",VLOOKUP("TOTAL - "&amp;B280,COMPOSICAO_AUX_4!$A:$J,10,FALSE),VLOOKUP(B280,I!$A:$D,4,FALSE))</f>
        <v>0.08</v>
      </c>
      <c r="J280" s="80">
        <f t="shared" si="10"/>
        <v>0.08</v>
      </c>
      <c r="K280" s="81"/>
    </row>
    <row r="281" spans="1:13" ht="15" customHeight="1" x14ac:dyDescent="0.25">
      <c r="A281" s="23" t="s">
        <v>765</v>
      </c>
      <c r="B281" s="24"/>
      <c r="C281" s="24"/>
      <c r="D281" s="24"/>
      <c r="E281" s="24"/>
      <c r="F281" s="24"/>
      <c r="G281" s="25"/>
      <c r="H281" s="26"/>
      <c r="I281" s="27"/>
      <c r="J281" s="80">
        <f>SUM(J272:K280)</f>
        <v>15.19</v>
      </c>
      <c r="K281" s="81"/>
    </row>
    <row r="282" spans="1:13" ht="15" customHeight="1" x14ac:dyDescent="0.25">
      <c r="A282" s="3"/>
      <c r="B282" s="3"/>
      <c r="C282" s="3"/>
      <c r="D282" s="3"/>
      <c r="E282" s="3"/>
      <c r="F282" s="3"/>
      <c r="G282" s="3"/>
      <c r="H282" s="3"/>
      <c r="I282" s="3"/>
      <c r="J282" s="3"/>
      <c r="K282" s="3"/>
    </row>
    <row r="283" spans="1:13" ht="15" customHeight="1" x14ac:dyDescent="0.25">
      <c r="A283" s="10" t="s">
        <v>295</v>
      </c>
      <c r="B283" s="10" t="s">
        <v>31</v>
      </c>
      <c r="C283" s="82" t="s">
        <v>7</v>
      </c>
      <c r="D283" s="83"/>
      <c r="E283" s="83"/>
      <c r="F283" s="83"/>
      <c r="G283" s="6" t="s">
        <v>32</v>
      </c>
      <c r="H283" s="6" t="s">
        <v>296</v>
      </c>
      <c r="I283" s="6" t="s">
        <v>297</v>
      </c>
      <c r="J283" s="57" t="s">
        <v>9</v>
      </c>
      <c r="K283" s="58"/>
    </row>
    <row r="284" spans="1:13" ht="15" customHeight="1" x14ac:dyDescent="0.25">
      <c r="A284" s="6" t="s">
        <v>502</v>
      </c>
      <c r="B284" s="28">
        <v>88245</v>
      </c>
      <c r="C284" s="91" t="str">
        <f>VLOOKUP(B284,S!$A:$D,2,FALSE)</f>
        <v>ARMADOR COM ENCARGOS COMPLEMENTARES</v>
      </c>
      <c r="D284" s="91"/>
      <c r="E284" s="91"/>
      <c r="F284" s="92"/>
      <c r="G284" s="6" t="str">
        <f>VLOOKUP(B284,S!$A:$D,3,FALSE)</f>
        <v>H</v>
      </c>
      <c r="H284" s="21"/>
      <c r="I284" s="21">
        <f>J293</f>
        <v>19.749999999999996</v>
      </c>
      <c r="J284" s="76"/>
      <c r="K284" s="72"/>
      <c r="L284" s="21">
        <f>VLOOKUP(B284,S!$A:$D,4,FALSE)</f>
        <v>19.75</v>
      </c>
      <c r="M284" s="6" t="str">
        <f>IF(ROUND((L284-I284),2)=0,"OK, confere com a tabela.",IF(ROUND((L284-I284),2)&lt;0,"ACIMA ("&amp;TEXT(ROUND(I284*100/L284,4),"0,0000")&amp;" %) da tabela.","ABAIXO ("&amp;TEXT(ROUND(I284*100/L284,4),"0,0000")&amp;" %) da tabela."))</f>
        <v>OK, confere com a tabela.</v>
      </c>
    </row>
    <row r="285" spans="1:13" ht="15" customHeight="1" x14ac:dyDescent="0.25">
      <c r="A285" s="16" t="s">
        <v>306</v>
      </c>
      <c r="B285" s="20">
        <v>378</v>
      </c>
      <c r="C285" s="77" t="str">
        <f>VLOOKUP(B285,IF(A285="COMPOSICAO",S!$A:$D,I!$A:$D),2,FALSE)</f>
        <v>ARMADOR</v>
      </c>
      <c r="D285" s="77"/>
      <c r="E285" s="77"/>
      <c r="F285" s="77"/>
      <c r="G285" s="16" t="str">
        <f>VLOOKUP(B285,IF(A285="COMPOSICAO",S!$A:$D,I!$A:$D),3,FALSE)</f>
        <v>H</v>
      </c>
      <c r="H285" s="17">
        <v>1</v>
      </c>
      <c r="I285" s="17">
        <f>IF(A285="COMPOSICAO",VLOOKUP("TOTAL - "&amp;B285,COMPOSICAO_AUX_4!$A:$J,10,FALSE),VLOOKUP(B285,I!$A:$D,4,FALSE))</f>
        <v>14.93</v>
      </c>
      <c r="J285" s="80">
        <f t="shared" ref="J285:J292" si="11">TRUNC(H285*I285,2)</f>
        <v>14.93</v>
      </c>
      <c r="K285" s="81"/>
    </row>
    <row r="286" spans="1:13" ht="15" customHeight="1" x14ac:dyDescent="0.25">
      <c r="A286" s="16" t="s">
        <v>306</v>
      </c>
      <c r="B286" s="20">
        <v>37370</v>
      </c>
      <c r="C286" s="77" t="str">
        <f>VLOOKUP(B286,IF(A286="COMPOSICAO",S!$A:$D,I!$A:$D),2,FALSE)</f>
        <v>ALIMENTACAO - HORISTA (COLETADO CAIXA)</v>
      </c>
      <c r="D286" s="77"/>
      <c r="E286" s="77"/>
      <c r="F286" s="77"/>
      <c r="G286" s="16" t="str">
        <f>VLOOKUP(B286,IF(A286="COMPOSICAO",S!$A:$D,I!$A:$D),3,FALSE)</f>
        <v>H</v>
      </c>
      <c r="H286" s="17">
        <v>1</v>
      </c>
      <c r="I286" s="17">
        <f>IF(A286="COMPOSICAO",VLOOKUP("TOTAL - "&amp;B286,COMPOSICAO_AUX_4!$A:$J,10,FALSE),VLOOKUP(B286,I!$A:$D,4,FALSE))</f>
        <v>1.86</v>
      </c>
      <c r="J286" s="80">
        <f t="shared" si="11"/>
        <v>1.86</v>
      </c>
      <c r="K286" s="81"/>
    </row>
    <row r="287" spans="1:13" ht="15" customHeight="1" x14ac:dyDescent="0.25">
      <c r="A287" s="16" t="s">
        <v>306</v>
      </c>
      <c r="B287" s="20">
        <v>37371</v>
      </c>
      <c r="C287" s="77" t="str">
        <f>VLOOKUP(B287,IF(A287="COMPOSICAO",S!$A:$D,I!$A:$D),2,FALSE)</f>
        <v>TRANSPORTE - HORISTA (COLETADO CAIXA)</v>
      </c>
      <c r="D287" s="77"/>
      <c r="E287" s="77"/>
      <c r="F287" s="77"/>
      <c r="G287" s="16" t="str">
        <f>VLOOKUP(B287,IF(A287="COMPOSICAO",S!$A:$D,I!$A:$D),3,FALSE)</f>
        <v>H</v>
      </c>
      <c r="H287" s="17">
        <v>1</v>
      </c>
      <c r="I287" s="17">
        <f>IF(A287="COMPOSICAO",VLOOKUP("TOTAL - "&amp;B287,COMPOSICAO_AUX_4!$A:$J,10,FALSE),VLOOKUP(B287,I!$A:$D,4,FALSE))</f>
        <v>0.7</v>
      </c>
      <c r="J287" s="80">
        <f t="shared" si="11"/>
        <v>0.7</v>
      </c>
      <c r="K287" s="81"/>
    </row>
    <row r="288" spans="1:13" ht="15" customHeight="1" x14ac:dyDescent="0.25">
      <c r="A288" s="16" t="s">
        <v>306</v>
      </c>
      <c r="B288" s="20">
        <v>37372</v>
      </c>
      <c r="C288" s="77" t="str">
        <f>VLOOKUP(B288,IF(A288="COMPOSICAO",S!$A:$D,I!$A:$D),2,FALSE)</f>
        <v>EXAMES - HORISTA (COLETADO CAIXA)</v>
      </c>
      <c r="D288" s="77"/>
      <c r="E288" s="77"/>
      <c r="F288" s="77"/>
      <c r="G288" s="16" t="str">
        <f>VLOOKUP(B288,IF(A288="COMPOSICAO",S!$A:$D,I!$A:$D),3,FALSE)</f>
        <v>H</v>
      </c>
      <c r="H288" s="17">
        <v>1</v>
      </c>
      <c r="I288" s="17">
        <f>IF(A288="COMPOSICAO",VLOOKUP("TOTAL - "&amp;B288,COMPOSICAO_AUX_4!$A:$J,10,FALSE),VLOOKUP(B288,I!$A:$D,4,FALSE))</f>
        <v>0.55000000000000004</v>
      </c>
      <c r="J288" s="80">
        <f t="shared" si="11"/>
        <v>0.55000000000000004</v>
      </c>
      <c r="K288" s="81"/>
    </row>
    <row r="289" spans="1:13" ht="15" customHeight="1" x14ac:dyDescent="0.25">
      <c r="A289" s="16" t="s">
        <v>306</v>
      </c>
      <c r="B289" s="20">
        <v>37373</v>
      </c>
      <c r="C289" s="77" t="str">
        <f>VLOOKUP(B289,IF(A289="COMPOSICAO",S!$A:$D,I!$A:$D),2,FALSE)</f>
        <v>SEGURO - HORISTA (COLETADO CAIXA)</v>
      </c>
      <c r="D289" s="77"/>
      <c r="E289" s="77"/>
      <c r="F289" s="77"/>
      <c r="G289" s="16" t="str">
        <f>VLOOKUP(B289,IF(A289="COMPOSICAO",S!$A:$D,I!$A:$D),3,FALSE)</f>
        <v>H</v>
      </c>
      <c r="H289" s="17">
        <v>1</v>
      </c>
      <c r="I289" s="17">
        <f>IF(A289="COMPOSICAO",VLOOKUP("TOTAL - "&amp;B289,COMPOSICAO_AUX_4!$A:$J,10,FALSE),VLOOKUP(B289,I!$A:$D,4,FALSE))</f>
        <v>0.06</v>
      </c>
      <c r="J289" s="80">
        <f t="shared" si="11"/>
        <v>0.06</v>
      </c>
      <c r="K289" s="81"/>
    </row>
    <row r="290" spans="1:13" ht="30" customHeight="1" x14ac:dyDescent="0.25">
      <c r="A290" s="16" t="s">
        <v>306</v>
      </c>
      <c r="B290" s="20">
        <v>43465</v>
      </c>
      <c r="C290" s="77" t="str">
        <f>VLOOKUP(B290,IF(A290="COMPOSICAO",S!$A:$D,I!$A:$D),2,FALSE)</f>
        <v>FERRAMENTAS - FAMILIA PEDREIRO - HORISTA (ENCARGOS COMPLEMENTARES - COLETADO CAIXA)</v>
      </c>
      <c r="D290" s="77"/>
      <c r="E290" s="77"/>
      <c r="F290" s="77"/>
      <c r="G290" s="16" t="str">
        <f>VLOOKUP(B290,IF(A290="COMPOSICAO",S!$A:$D,I!$A:$D),3,FALSE)</f>
        <v>H</v>
      </c>
      <c r="H290" s="17">
        <v>1</v>
      </c>
      <c r="I290" s="17">
        <f>IF(A290="COMPOSICAO",VLOOKUP("TOTAL - "&amp;B290,COMPOSICAO_AUX_4!$A:$J,10,FALSE),VLOOKUP(B290,I!$A:$D,4,FALSE))</f>
        <v>0.57999999999999996</v>
      </c>
      <c r="J290" s="80">
        <f t="shared" si="11"/>
        <v>0.57999999999999996</v>
      </c>
      <c r="K290" s="81"/>
    </row>
    <row r="291" spans="1:13" ht="30" customHeight="1" x14ac:dyDescent="0.25">
      <c r="A291" s="16" t="s">
        <v>306</v>
      </c>
      <c r="B291" s="20">
        <v>43489</v>
      </c>
      <c r="C291" s="77" t="str">
        <f>VLOOKUP(B291,IF(A291="COMPOSICAO",S!$A:$D,I!$A:$D),2,FALSE)</f>
        <v>EPI - FAMILIA PEDREIRO - HORISTA (ENCARGOS COMPLEMENTARES - COLETADO CAIXA)</v>
      </c>
      <c r="D291" s="77"/>
      <c r="E291" s="77"/>
      <c r="F291" s="77"/>
      <c r="G291" s="16" t="str">
        <f>VLOOKUP(B291,IF(A291="COMPOSICAO",S!$A:$D,I!$A:$D),3,FALSE)</f>
        <v>H</v>
      </c>
      <c r="H291" s="17">
        <v>1</v>
      </c>
      <c r="I291" s="17">
        <f>IF(A291="COMPOSICAO",VLOOKUP("TOTAL - "&amp;B291,COMPOSICAO_AUX_4!$A:$J,10,FALSE),VLOOKUP(B291,I!$A:$D,4,FALSE))</f>
        <v>0.95</v>
      </c>
      <c r="J291" s="80">
        <f t="shared" si="11"/>
        <v>0.95</v>
      </c>
      <c r="K291" s="81"/>
    </row>
    <row r="292" spans="1:13" ht="30" customHeight="1" x14ac:dyDescent="0.25">
      <c r="A292" s="16" t="s">
        <v>302</v>
      </c>
      <c r="B292" s="20">
        <v>95314</v>
      </c>
      <c r="C292" s="77" t="str">
        <f>VLOOKUP(B292,IF(A292="COMPOSICAO",S!$A:$D,I!$A:$D),2,FALSE)</f>
        <v>CURSO DE CAPACITAÇÃO PARA ARMADOR (ENCARGOS COMPLEMENTARES) - HORISTA</v>
      </c>
      <c r="D292" s="77"/>
      <c r="E292" s="77"/>
      <c r="F292" s="77"/>
      <c r="G292" s="16" t="str">
        <f>VLOOKUP(B292,IF(A292="COMPOSICAO",S!$A:$D,I!$A:$D),3,FALSE)</f>
        <v>H</v>
      </c>
      <c r="H292" s="17">
        <v>1</v>
      </c>
      <c r="I292" s="17">
        <f>IF(A292="COMPOSICAO",VLOOKUP("TOTAL - "&amp;B292,COMPOSICAO_AUX_4!$A:$J,10,FALSE),VLOOKUP(B292,I!$A:$D,4,FALSE))</f>
        <v>0.12</v>
      </c>
      <c r="J292" s="80">
        <f t="shared" si="11"/>
        <v>0.12</v>
      </c>
      <c r="K292" s="81"/>
    </row>
    <row r="293" spans="1:13" ht="15" customHeight="1" x14ac:dyDescent="0.25">
      <c r="A293" s="23" t="s">
        <v>766</v>
      </c>
      <c r="B293" s="24"/>
      <c r="C293" s="24"/>
      <c r="D293" s="24"/>
      <c r="E293" s="24"/>
      <c r="F293" s="24"/>
      <c r="G293" s="25"/>
      <c r="H293" s="26"/>
      <c r="I293" s="27"/>
      <c r="J293" s="80">
        <f>SUM(J284:K292)</f>
        <v>19.749999999999996</v>
      </c>
      <c r="K293" s="81"/>
    </row>
    <row r="294" spans="1:13" ht="15" customHeight="1" x14ac:dyDescent="0.25">
      <c r="A294" s="3"/>
      <c r="B294" s="3"/>
      <c r="C294" s="3"/>
      <c r="D294" s="3"/>
      <c r="E294" s="3"/>
      <c r="F294" s="3"/>
      <c r="G294" s="3"/>
      <c r="H294" s="3"/>
      <c r="I294" s="3"/>
      <c r="J294" s="3"/>
      <c r="K294" s="3"/>
    </row>
    <row r="295" spans="1:13" ht="15" customHeight="1" x14ac:dyDescent="0.25">
      <c r="A295" s="10" t="s">
        <v>295</v>
      </c>
      <c r="B295" s="10" t="s">
        <v>31</v>
      </c>
      <c r="C295" s="82" t="s">
        <v>7</v>
      </c>
      <c r="D295" s="83"/>
      <c r="E295" s="83"/>
      <c r="F295" s="83"/>
      <c r="G295" s="6" t="s">
        <v>32</v>
      </c>
      <c r="H295" s="6" t="s">
        <v>296</v>
      </c>
      <c r="I295" s="6" t="s">
        <v>297</v>
      </c>
      <c r="J295" s="57" t="s">
        <v>9</v>
      </c>
      <c r="K295" s="58"/>
    </row>
    <row r="296" spans="1:13" ht="30" customHeight="1" x14ac:dyDescent="0.25">
      <c r="A296" s="6" t="s">
        <v>502</v>
      </c>
      <c r="B296" s="28">
        <v>95371</v>
      </c>
      <c r="C296" s="91" t="str">
        <f>VLOOKUP(B296,S!$A:$D,2,FALSE)</f>
        <v>CURSO DE CAPACITAÇÃO PARA PEDREIRO (ENCARGOS COMPLEMENTARES) - HORISTA</v>
      </c>
      <c r="D296" s="91"/>
      <c r="E296" s="91"/>
      <c r="F296" s="92"/>
      <c r="G296" s="6" t="str">
        <f>VLOOKUP(B296,S!$A:$D,3,FALSE)</f>
        <v>H</v>
      </c>
      <c r="H296" s="21"/>
      <c r="I296" s="21">
        <f>J298</f>
        <v>0.22</v>
      </c>
      <c r="J296" s="76"/>
      <c r="K296" s="72"/>
      <c r="L296" s="21">
        <f>VLOOKUP(B296,S!$A:$D,4,FALSE)</f>
        <v>0.22</v>
      </c>
      <c r="M296" s="6" t="str">
        <f>IF(ROUND((L296-I296),2)=0,"OK, confere com a tabela.",IF(ROUND((L296-I296),2)&lt;0,"ACIMA ("&amp;TEXT(ROUND(I296*100/L296,4),"0,0000")&amp;" %) da tabela.","ABAIXO ("&amp;TEXT(ROUND(I296*100/L296,4),"0,0000")&amp;" %) da tabela."))</f>
        <v>OK, confere com a tabela.</v>
      </c>
    </row>
    <row r="297" spans="1:13" ht="15" customHeight="1" x14ac:dyDescent="0.25">
      <c r="A297" s="16" t="s">
        <v>306</v>
      </c>
      <c r="B297" s="20">
        <v>4750</v>
      </c>
      <c r="C297" s="77" t="str">
        <f>VLOOKUP(B297,IF(A297="COMPOSICAO",S!$A:$D,I!$A:$D),2,FALSE)</f>
        <v>PEDREIRO</v>
      </c>
      <c r="D297" s="77"/>
      <c r="E297" s="77"/>
      <c r="F297" s="77"/>
      <c r="G297" s="16" t="str">
        <f>VLOOKUP(B297,IF(A297="COMPOSICAO",S!$A:$D,I!$A:$D),3,FALSE)</f>
        <v>H</v>
      </c>
      <c r="H297" s="29">
        <v>1.5100000000000001E-2</v>
      </c>
      <c r="I297" s="17">
        <f>IF(A297="COMPOSICAO",VLOOKUP("TOTAL - "&amp;B297,COMPOSICAO_AUX_4!$A:$J,10,FALSE),VLOOKUP(B297,I!$A:$D,4,FALSE))</f>
        <v>14.93</v>
      </c>
      <c r="J297" s="80">
        <f>TRUNC(H297*I297,2)</f>
        <v>0.22</v>
      </c>
      <c r="K297" s="81"/>
    </row>
    <row r="298" spans="1:13" ht="15" customHeight="1" x14ac:dyDescent="0.25">
      <c r="A298" s="23" t="s">
        <v>749</v>
      </c>
      <c r="B298" s="24"/>
      <c r="C298" s="24"/>
      <c r="D298" s="24"/>
      <c r="E298" s="24"/>
      <c r="F298" s="24"/>
      <c r="G298" s="25"/>
      <c r="H298" s="26"/>
      <c r="I298" s="27"/>
      <c r="J298" s="80">
        <f>SUM(J296:K297)</f>
        <v>0.22</v>
      </c>
      <c r="K298" s="81"/>
    </row>
    <row r="299" spans="1:13" ht="15" customHeight="1" x14ac:dyDescent="0.25">
      <c r="A299" s="3"/>
      <c r="B299" s="3"/>
      <c r="C299" s="3"/>
      <c r="D299" s="3"/>
      <c r="E299" s="3"/>
      <c r="F299" s="3"/>
      <c r="G299" s="3"/>
      <c r="H299" s="3"/>
      <c r="I299" s="3"/>
      <c r="J299" s="3"/>
      <c r="K299" s="3"/>
    </row>
    <row r="300" spans="1:13" ht="15" customHeight="1" x14ac:dyDescent="0.25">
      <c r="A300" s="10" t="s">
        <v>295</v>
      </c>
      <c r="B300" s="10" t="s">
        <v>31</v>
      </c>
      <c r="C300" s="82" t="s">
        <v>7</v>
      </c>
      <c r="D300" s="83"/>
      <c r="E300" s="83"/>
      <c r="F300" s="83"/>
      <c r="G300" s="6" t="s">
        <v>32</v>
      </c>
      <c r="H300" s="6" t="s">
        <v>296</v>
      </c>
      <c r="I300" s="6" t="s">
        <v>297</v>
      </c>
      <c r="J300" s="57" t="s">
        <v>9</v>
      </c>
      <c r="K300" s="58"/>
    </row>
    <row r="301" spans="1:13" ht="45" customHeight="1" x14ac:dyDescent="0.25">
      <c r="A301" s="6" t="s">
        <v>572</v>
      </c>
      <c r="B301" s="28">
        <v>90582</v>
      </c>
      <c r="C301" s="91" t="str">
        <f>VLOOKUP(B301,S!$A:$D,2,FALSE)</f>
        <v>VIBRADOR DE IMERSÃO, DIÂMETRO DE PONTEIRA 45MM, MOTOR ELÉTRICO TRIFÁSICO POTÊNCIA DE 2 CV - DEPRECIAÇÃO. AF_06/2015</v>
      </c>
      <c r="D301" s="91"/>
      <c r="E301" s="91"/>
      <c r="F301" s="92"/>
      <c r="G301" s="6" t="str">
        <f>VLOOKUP(B301,S!$A:$D,3,FALSE)</f>
        <v>H</v>
      </c>
      <c r="H301" s="21"/>
      <c r="I301" s="21">
        <f>J303</f>
        <v>0.4</v>
      </c>
      <c r="J301" s="76"/>
      <c r="K301" s="72"/>
      <c r="L301" s="21">
        <f>VLOOKUP(B301,S!$A:$D,4,FALSE)</f>
        <v>0.4</v>
      </c>
      <c r="M301" s="6" t="str">
        <f>IF(ROUND((L301-I301),2)=0,"OK, confere com a tabela.",IF(ROUND((L301-I301),2)&lt;0,"ACIMA ("&amp;TEXT(ROUND(I301*100/L301,4),"0,0000")&amp;" %) da tabela.","ABAIXO ("&amp;TEXT(ROUND(I301*100/L301,4),"0,0000")&amp;" %) da tabela."))</f>
        <v>OK, confere com a tabela.</v>
      </c>
    </row>
    <row r="302" spans="1:13" ht="45" customHeight="1" x14ac:dyDescent="0.25">
      <c r="A302" s="16" t="s">
        <v>306</v>
      </c>
      <c r="B302" s="20">
        <v>13896</v>
      </c>
      <c r="C302" s="77" t="str">
        <f>VLOOKUP(B302,IF(A302="COMPOSICAO",S!$A:$D,I!$A:$D),2,FALSE)</f>
        <v>VIBRADOR DE IMERSAO, DIAMETRO DA PONTEIRA DE *45* MM, COM MOTOR ELETRICO TRIFASICO DE 2 HP (2 CV)</v>
      </c>
      <c r="D302" s="77"/>
      <c r="E302" s="77"/>
      <c r="F302" s="77"/>
      <c r="G302" s="16" t="str">
        <f>VLOOKUP(B302,IF(A302="COMPOSICAO",S!$A:$D,I!$A:$D),3,FALSE)</f>
        <v>UN</v>
      </c>
      <c r="H302" s="32">
        <v>1.2799999999999999E-4</v>
      </c>
      <c r="I302" s="17">
        <f>IF(A302="COMPOSICAO",VLOOKUP("TOTAL - "&amp;B302,COMPOSICAO_AUX_4!$A:$J,10,FALSE),VLOOKUP(B302,I!$A:$D,4,FALSE))</f>
        <v>3139.8</v>
      </c>
      <c r="J302" s="80">
        <f>TRUNC(H302*I302,2)</f>
        <v>0.4</v>
      </c>
      <c r="K302" s="81"/>
    </row>
    <row r="303" spans="1:13" ht="15" customHeight="1" x14ac:dyDescent="0.25">
      <c r="A303" s="23" t="s">
        <v>831</v>
      </c>
      <c r="B303" s="24"/>
      <c r="C303" s="24"/>
      <c r="D303" s="24"/>
      <c r="E303" s="24"/>
      <c r="F303" s="24"/>
      <c r="G303" s="25"/>
      <c r="H303" s="26"/>
      <c r="I303" s="27"/>
      <c r="J303" s="80">
        <f>SUM(J301:K302)</f>
        <v>0.4</v>
      </c>
      <c r="K303" s="81"/>
    </row>
    <row r="304" spans="1:13" ht="15" customHeight="1" x14ac:dyDescent="0.25">
      <c r="A304" s="3"/>
      <c r="B304" s="3"/>
      <c r="C304" s="3"/>
      <c r="D304" s="3"/>
      <c r="E304" s="3"/>
      <c r="F304" s="3"/>
      <c r="G304" s="3"/>
      <c r="H304" s="3"/>
      <c r="I304" s="3"/>
      <c r="J304" s="3"/>
      <c r="K304" s="3"/>
    </row>
    <row r="305" spans="1:13" ht="15" customHeight="1" x14ac:dyDescent="0.25">
      <c r="A305" s="10" t="s">
        <v>295</v>
      </c>
      <c r="B305" s="10" t="s">
        <v>31</v>
      </c>
      <c r="C305" s="82" t="s">
        <v>7</v>
      </c>
      <c r="D305" s="83"/>
      <c r="E305" s="83"/>
      <c r="F305" s="83"/>
      <c r="G305" s="6" t="s">
        <v>32</v>
      </c>
      <c r="H305" s="6" t="s">
        <v>296</v>
      </c>
      <c r="I305" s="6" t="s">
        <v>297</v>
      </c>
      <c r="J305" s="57" t="s">
        <v>9</v>
      </c>
      <c r="K305" s="58"/>
    </row>
    <row r="306" spans="1:13" ht="45" customHeight="1" x14ac:dyDescent="0.25">
      <c r="A306" s="6" t="s">
        <v>572</v>
      </c>
      <c r="B306" s="28">
        <v>90583</v>
      </c>
      <c r="C306" s="91" t="str">
        <f>VLOOKUP(B306,S!$A:$D,2,FALSE)</f>
        <v>VIBRADOR DE IMERSÃO, DIÂMETRO DE PONTEIRA 45MM, MOTOR ELÉTRICO TRIFÁSICO POTÊNCIA DE 2 CV - JUROS. AF_06/2015</v>
      </c>
      <c r="D306" s="91"/>
      <c r="E306" s="91"/>
      <c r="F306" s="92"/>
      <c r="G306" s="6" t="str">
        <f>VLOOKUP(B306,S!$A:$D,3,FALSE)</f>
        <v>H</v>
      </c>
      <c r="H306" s="21"/>
      <c r="I306" s="21">
        <f>J308</f>
        <v>0.04</v>
      </c>
      <c r="J306" s="76"/>
      <c r="K306" s="72"/>
      <c r="L306" s="21">
        <f>VLOOKUP(B306,S!$A:$D,4,FALSE)</f>
        <v>0.04</v>
      </c>
      <c r="M306" s="6" t="str">
        <f>IF(ROUND((L306-I306),2)=0,"OK, confere com a tabela.",IF(ROUND((L306-I306),2)&lt;0,"ACIMA ("&amp;TEXT(ROUND(I306*100/L306,4),"0,0000")&amp;" %) da tabela.","ABAIXO ("&amp;TEXT(ROUND(I306*100/L306,4),"0,0000")&amp;" %) da tabela."))</f>
        <v>OK, confere com a tabela.</v>
      </c>
    </row>
    <row r="307" spans="1:13" ht="45" customHeight="1" x14ac:dyDescent="0.25">
      <c r="A307" s="16" t="s">
        <v>306</v>
      </c>
      <c r="B307" s="20">
        <v>13896</v>
      </c>
      <c r="C307" s="77" t="str">
        <f>VLOOKUP(B307,IF(A307="COMPOSICAO",S!$A:$D,I!$A:$D),2,FALSE)</f>
        <v>VIBRADOR DE IMERSAO, DIAMETRO DA PONTEIRA DE *45* MM, COM MOTOR ELETRICO TRIFASICO DE 2 HP (2 CV)</v>
      </c>
      <c r="D307" s="77"/>
      <c r="E307" s="77"/>
      <c r="F307" s="77"/>
      <c r="G307" s="16" t="str">
        <f>VLOOKUP(B307,IF(A307="COMPOSICAO",S!$A:$D,I!$A:$D),3,FALSE)</f>
        <v>UN</v>
      </c>
      <c r="H307" s="31">
        <v>1.5099999999999999E-5</v>
      </c>
      <c r="I307" s="17">
        <f>IF(A307="COMPOSICAO",VLOOKUP("TOTAL - "&amp;B307,COMPOSICAO_AUX_4!$A:$J,10,FALSE),VLOOKUP(B307,I!$A:$D,4,FALSE))</f>
        <v>3139.8</v>
      </c>
      <c r="J307" s="80">
        <f>TRUNC(H307*I307,2)</f>
        <v>0.04</v>
      </c>
      <c r="K307" s="81"/>
    </row>
    <row r="308" spans="1:13" ht="15" customHeight="1" x14ac:dyDescent="0.25">
      <c r="A308" s="23" t="s">
        <v>832</v>
      </c>
      <c r="B308" s="24"/>
      <c r="C308" s="24"/>
      <c r="D308" s="24"/>
      <c r="E308" s="24"/>
      <c r="F308" s="24"/>
      <c r="G308" s="25"/>
      <c r="H308" s="26"/>
      <c r="I308" s="27"/>
      <c r="J308" s="80">
        <f>SUM(J306:K307)</f>
        <v>0.04</v>
      </c>
      <c r="K308" s="81"/>
    </row>
    <row r="309" spans="1:13" ht="15" customHeight="1" x14ac:dyDescent="0.25">
      <c r="A309" s="3"/>
      <c r="B309" s="3"/>
      <c r="C309" s="3"/>
      <c r="D309" s="3"/>
      <c r="E309" s="3"/>
      <c r="F309" s="3"/>
      <c r="G309" s="3"/>
      <c r="H309" s="3"/>
      <c r="I309" s="3"/>
      <c r="J309" s="3"/>
      <c r="K309" s="3"/>
    </row>
    <row r="310" spans="1:13" ht="15" customHeight="1" x14ac:dyDescent="0.25">
      <c r="A310" s="10" t="s">
        <v>295</v>
      </c>
      <c r="B310" s="10" t="s">
        <v>31</v>
      </c>
      <c r="C310" s="82" t="s">
        <v>7</v>
      </c>
      <c r="D310" s="83"/>
      <c r="E310" s="83"/>
      <c r="F310" s="83"/>
      <c r="G310" s="6" t="s">
        <v>32</v>
      </c>
      <c r="H310" s="6" t="s">
        <v>296</v>
      </c>
      <c r="I310" s="6" t="s">
        <v>297</v>
      </c>
      <c r="J310" s="57" t="s">
        <v>9</v>
      </c>
      <c r="K310" s="58"/>
    </row>
    <row r="311" spans="1:13" ht="45" customHeight="1" x14ac:dyDescent="0.25">
      <c r="A311" s="6" t="s">
        <v>572</v>
      </c>
      <c r="B311" s="28">
        <v>90584</v>
      </c>
      <c r="C311" s="91" t="str">
        <f>VLOOKUP(B311,S!$A:$D,2,FALSE)</f>
        <v>VIBRADOR DE IMERSÃO, DIÂMETRO DE PONTEIRA 45MM, MOTOR ELÉTRICO TRIFÁSICO POTÊNCIA DE 2 CV - MANUTENÇÃO. AF_06/2015</v>
      </c>
      <c r="D311" s="91"/>
      <c r="E311" s="91"/>
      <c r="F311" s="92"/>
      <c r="G311" s="6" t="str">
        <f>VLOOKUP(B311,S!$A:$D,3,FALSE)</f>
        <v>H</v>
      </c>
      <c r="H311" s="21"/>
      <c r="I311" s="21">
        <f>J313</f>
        <v>0.31</v>
      </c>
      <c r="J311" s="76"/>
      <c r="K311" s="72"/>
      <c r="L311" s="21">
        <f>VLOOKUP(B311,S!$A:$D,4,FALSE)</f>
        <v>0.31</v>
      </c>
      <c r="M311" s="6" t="str">
        <f>IF(ROUND((L311-I311),2)=0,"OK, confere com a tabela.",IF(ROUND((L311-I311),2)&lt;0,"ACIMA ("&amp;TEXT(ROUND(I311*100/L311,4),"0,0000")&amp;" %) da tabela.","ABAIXO ("&amp;TEXT(ROUND(I311*100/L311,4),"0,0000")&amp;" %) da tabela."))</f>
        <v>OK, confere com a tabela.</v>
      </c>
    </row>
    <row r="312" spans="1:13" ht="45" customHeight="1" x14ac:dyDescent="0.25">
      <c r="A312" s="16" t="s">
        <v>306</v>
      </c>
      <c r="B312" s="20">
        <v>13896</v>
      </c>
      <c r="C312" s="77" t="str">
        <f>VLOOKUP(B312,IF(A312="COMPOSICAO",S!$A:$D,I!$A:$D),2,FALSE)</f>
        <v>VIBRADOR DE IMERSAO, DIAMETRO DA PONTEIRA DE *45* MM, COM MOTOR ELETRICO TRIFASICO DE 2 HP (2 CV)</v>
      </c>
      <c r="D312" s="77"/>
      <c r="E312" s="77"/>
      <c r="F312" s="77"/>
      <c r="G312" s="16" t="str">
        <f>VLOOKUP(B312,IF(A312="COMPOSICAO",S!$A:$D,I!$A:$D),3,FALSE)</f>
        <v>UN</v>
      </c>
      <c r="H312" s="29">
        <v>1E-4</v>
      </c>
      <c r="I312" s="17">
        <f>IF(A312="COMPOSICAO",VLOOKUP("TOTAL - "&amp;B312,COMPOSICAO_AUX_4!$A:$J,10,FALSE),VLOOKUP(B312,I!$A:$D,4,FALSE))</f>
        <v>3139.8</v>
      </c>
      <c r="J312" s="80">
        <f>TRUNC(H312*I312,2)</f>
        <v>0.31</v>
      </c>
      <c r="K312" s="81"/>
    </row>
    <row r="313" spans="1:13" ht="15" customHeight="1" x14ac:dyDescent="0.25">
      <c r="A313" s="23" t="s">
        <v>833</v>
      </c>
      <c r="B313" s="24"/>
      <c r="C313" s="24"/>
      <c r="D313" s="24"/>
      <c r="E313" s="24"/>
      <c r="F313" s="24"/>
      <c r="G313" s="25"/>
      <c r="H313" s="26"/>
      <c r="I313" s="27"/>
      <c r="J313" s="80">
        <f>SUM(J311:K312)</f>
        <v>0.31</v>
      </c>
      <c r="K313" s="81"/>
    </row>
    <row r="314" spans="1:13" ht="15" customHeight="1" x14ac:dyDescent="0.25">
      <c r="A314" s="3"/>
      <c r="B314" s="3"/>
      <c r="C314" s="3"/>
      <c r="D314" s="3"/>
      <c r="E314" s="3"/>
      <c r="F314" s="3"/>
      <c r="G314" s="3"/>
      <c r="H314" s="3"/>
      <c r="I314" s="3"/>
      <c r="J314" s="3"/>
      <c r="K314" s="3"/>
    </row>
    <row r="315" spans="1:13" ht="15" customHeight="1" x14ac:dyDescent="0.25">
      <c r="A315" s="10" t="s">
        <v>295</v>
      </c>
      <c r="B315" s="10" t="s">
        <v>31</v>
      </c>
      <c r="C315" s="82" t="s">
        <v>7</v>
      </c>
      <c r="D315" s="83"/>
      <c r="E315" s="83"/>
      <c r="F315" s="83"/>
      <c r="G315" s="6" t="s">
        <v>32</v>
      </c>
      <c r="H315" s="6" t="s">
        <v>296</v>
      </c>
      <c r="I315" s="6" t="s">
        <v>297</v>
      </c>
      <c r="J315" s="57" t="s">
        <v>9</v>
      </c>
      <c r="K315" s="58"/>
    </row>
    <row r="316" spans="1:13" ht="45" customHeight="1" x14ac:dyDescent="0.25">
      <c r="A316" s="6" t="s">
        <v>572</v>
      </c>
      <c r="B316" s="28">
        <v>90585</v>
      </c>
      <c r="C316" s="91" t="str">
        <f>VLOOKUP(B316,S!$A:$D,2,FALSE)</f>
        <v>VIBRADOR DE IMERSÃO, DIÂMETRO DE PONTEIRA 45MM, MOTOR ELÉTRICO TRIFÁSICO POTÊNCIA DE 2 CV - MATERIAIS NA OPERAÇÃO. AF_06/2015</v>
      </c>
      <c r="D316" s="91"/>
      <c r="E316" s="91"/>
      <c r="F316" s="92"/>
      <c r="G316" s="6" t="str">
        <f>VLOOKUP(B316,S!$A:$D,3,FALSE)</f>
        <v>H</v>
      </c>
      <c r="H316" s="21"/>
      <c r="I316" s="21">
        <f>J318</f>
        <v>0.95</v>
      </c>
      <c r="J316" s="76"/>
      <c r="K316" s="72"/>
      <c r="L316" s="21">
        <f>VLOOKUP(B316,S!$A:$D,4,FALSE)</f>
        <v>0.95</v>
      </c>
      <c r="M316" s="6" t="str">
        <f>IF(ROUND((L316-I316),2)=0,"OK, confere com a tabela.",IF(ROUND((L316-I316),2)&lt;0,"ACIMA ("&amp;TEXT(ROUND(I316*100/L316,4),"0,0000")&amp;" %) da tabela.","ABAIXO ("&amp;TEXT(ROUND(I316*100/L316,4),"0,0000")&amp;" %) da tabela."))</f>
        <v>OK, confere com a tabela.</v>
      </c>
    </row>
    <row r="317" spans="1:13" ht="30" customHeight="1" x14ac:dyDescent="0.25">
      <c r="A317" s="16" t="s">
        <v>306</v>
      </c>
      <c r="B317" s="20">
        <v>2705</v>
      </c>
      <c r="C317" s="77" t="str">
        <f>VLOOKUP(B317,IF(A317="COMPOSICAO",S!$A:$D,I!$A:$D),2,FALSE)</f>
        <v>ENERGIA ELETRICA ATE 2000 KWH INDUSTRIAL, SEM DEMANDA</v>
      </c>
      <c r="D317" s="77"/>
      <c r="E317" s="77"/>
      <c r="F317" s="77"/>
      <c r="G317" s="16" t="str">
        <f>VLOOKUP(B317,IF(A317="COMPOSICAO",S!$A:$D,I!$A:$D),3,FALSE)</f>
        <v>KW/H</v>
      </c>
      <c r="H317" s="17">
        <v>1.25</v>
      </c>
      <c r="I317" s="17">
        <f>IF(A317="COMPOSICAO",VLOOKUP("TOTAL - "&amp;B317,COMPOSICAO_AUX_4!$A:$J,10,FALSE),VLOOKUP(B317,I!$A:$D,4,FALSE))</f>
        <v>0.76</v>
      </c>
      <c r="J317" s="80">
        <f>TRUNC(H317*I317,2)</f>
        <v>0.95</v>
      </c>
      <c r="K317" s="81"/>
    </row>
    <row r="318" spans="1:13" ht="15" customHeight="1" x14ac:dyDescent="0.25">
      <c r="A318" s="23" t="s">
        <v>834</v>
      </c>
      <c r="B318" s="24"/>
      <c r="C318" s="24"/>
      <c r="D318" s="24"/>
      <c r="E318" s="24"/>
      <c r="F318" s="24"/>
      <c r="G318" s="25"/>
      <c r="H318" s="26"/>
      <c r="I318" s="27"/>
      <c r="J318" s="80">
        <f>SUM(J316:K317)</f>
        <v>0.95</v>
      </c>
      <c r="K318" s="81"/>
    </row>
    <row r="319" spans="1:13" ht="15" customHeight="1" x14ac:dyDescent="0.25">
      <c r="A319" s="3"/>
      <c r="B319" s="3"/>
      <c r="C319" s="3"/>
      <c r="D319" s="3"/>
      <c r="E319" s="3"/>
      <c r="F319" s="3"/>
      <c r="G319" s="3"/>
      <c r="H319" s="3"/>
      <c r="I319" s="3"/>
      <c r="J319" s="3"/>
      <c r="K319" s="3"/>
    </row>
    <row r="320" spans="1:13" ht="15" customHeight="1" x14ac:dyDescent="0.25">
      <c r="A320" s="10" t="s">
        <v>295</v>
      </c>
      <c r="B320" s="10" t="s">
        <v>31</v>
      </c>
      <c r="C320" s="82" t="s">
        <v>7</v>
      </c>
      <c r="D320" s="83"/>
      <c r="E320" s="83"/>
      <c r="F320" s="83"/>
      <c r="G320" s="6" t="s">
        <v>32</v>
      </c>
      <c r="H320" s="6" t="s">
        <v>296</v>
      </c>
      <c r="I320" s="6" t="s">
        <v>297</v>
      </c>
      <c r="J320" s="57" t="s">
        <v>9</v>
      </c>
      <c r="K320" s="58"/>
    </row>
    <row r="321" spans="1:13" ht="30" customHeight="1" x14ac:dyDescent="0.25">
      <c r="A321" s="6" t="s">
        <v>502</v>
      </c>
      <c r="B321" s="28">
        <v>88297</v>
      </c>
      <c r="C321" s="91" t="str">
        <f>VLOOKUP(B321,S!$A:$D,2,FALSE)</f>
        <v>OPERADOR DE MÁQUINAS E EQUIPAMENTOS COM ENCARGOS COMPLEMENTARES</v>
      </c>
      <c r="D321" s="91"/>
      <c r="E321" s="91"/>
      <c r="F321" s="92"/>
      <c r="G321" s="6" t="str">
        <f>VLOOKUP(B321,S!$A:$D,3,FALSE)</f>
        <v>H</v>
      </c>
      <c r="H321" s="21"/>
      <c r="I321" s="21">
        <f>J330</f>
        <v>25.04</v>
      </c>
      <c r="J321" s="76"/>
      <c r="K321" s="72"/>
      <c r="L321" s="21">
        <f>VLOOKUP(B321,S!$A:$D,4,FALSE)</f>
        <v>25.04</v>
      </c>
      <c r="M321" s="6" t="str">
        <f>IF(ROUND((L321-I321),2)=0,"OK, confere com a tabela.",IF(ROUND((L321-I321),2)&lt;0,"ACIMA ("&amp;TEXT(ROUND(I321*100/L321,4),"0,0000")&amp;" %) da tabela.","ABAIXO ("&amp;TEXT(ROUND(I321*100/L321,4),"0,0000")&amp;" %) da tabela."))</f>
        <v>OK, confere com a tabela.</v>
      </c>
    </row>
    <row r="322" spans="1:13" ht="30" customHeight="1" x14ac:dyDescent="0.25">
      <c r="A322" s="16" t="s">
        <v>306</v>
      </c>
      <c r="B322" s="20">
        <v>4230</v>
      </c>
      <c r="C322" s="77" t="str">
        <f>VLOOKUP(B322,IF(A322="COMPOSICAO",S!$A:$D,I!$A:$D),2,FALSE)</f>
        <v>OPERADOR DE MAQUINAS E TRATORES DIVERSOS (TERRAPLANAGEM)</v>
      </c>
      <c r="D322" s="77"/>
      <c r="E322" s="77"/>
      <c r="F322" s="77"/>
      <c r="G322" s="16" t="str">
        <f>VLOOKUP(B322,IF(A322="COMPOSICAO",S!$A:$D,I!$A:$D),3,FALSE)</f>
        <v>H</v>
      </c>
      <c r="H322" s="17">
        <v>1</v>
      </c>
      <c r="I322" s="17">
        <f>IF(A322="COMPOSICAO",VLOOKUP("TOTAL - "&amp;B322,COMPOSICAO_AUX_4!$A:$J,10,FALSE),VLOOKUP(B322,I!$A:$D,4,FALSE))</f>
        <v>21.06</v>
      </c>
      <c r="J322" s="80">
        <f t="shared" ref="J322:J329" si="12">TRUNC(H322*I322,2)</f>
        <v>21.06</v>
      </c>
      <c r="K322" s="81"/>
    </row>
    <row r="323" spans="1:13" ht="15" customHeight="1" x14ac:dyDescent="0.25">
      <c r="A323" s="16" t="s">
        <v>306</v>
      </c>
      <c r="B323" s="20">
        <v>37370</v>
      </c>
      <c r="C323" s="77" t="str">
        <f>VLOOKUP(B323,IF(A323="COMPOSICAO",S!$A:$D,I!$A:$D),2,FALSE)</f>
        <v>ALIMENTACAO - HORISTA (COLETADO CAIXA)</v>
      </c>
      <c r="D323" s="77"/>
      <c r="E323" s="77"/>
      <c r="F323" s="77"/>
      <c r="G323" s="16" t="str">
        <f>VLOOKUP(B323,IF(A323="COMPOSICAO",S!$A:$D,I!$A:$D),3,FALSE)</f>
        <v>H</v>
      </c>
      <c r="H323" s="17">
        <v>1</v>
      </c>
      <c r="I323" s="17">
        <f>IF(A323="COMPOSICAO",VLOOKUP("TOTAL - "&amp;B323,COMPOSICAO_AUX_4!$A:$J,10,FALSE),VLOOKUP(B323,I!$A:$D,4,FALSE))</f>
        <v>1.86</v>
      </c>
      <c r="J323" s="80">
        <f t="shared" si="12"/>
        <v>1.86</v>
      </c>
      <c r="K323" s="81"/>
    </row>
    <row r="324" spans="1:13" ht="15" customHeight="1" x14ac:dyDescent="0.25">
      <c r="A324" s="16" t="s">
        <v>306</v>
      </c>
      <c r="B324" s="20">
        <v>37371</v>
      </c>
      <c r="C324" s="77" t="str">
        <f>VLOOKUP(B324,IF(A324="COMPOSICAO",S!$A:$D,I!$A:$D),2,FALSE)</f>
        <v>TRANSPORTE - HORISTA (COLETADO CAIXA)</v>
      </c>
      <c r="D324" s="77"/>
      <c r="E324" s="77"/>
      <c r="F324" s="77"/>
      <c r="G324" s="16" t="str">
        <f>VLOOKUP(B324,IF(A324="COMPOSICAO",S!$A:$D,I!$A:$D),3,FALSE)</f>
        <v>H</v>
      </c>
      <c r="H324" s="17">
        <v>1</v>
      </c>
      <c r="I324" s="17">
        <f>IF(A324="COMPOSICAO",VLOOKUP("TOTAL - "&amp;B324,COMPOSICAO_AUX_4!$A:$J,10,FALSE),VLOOKUP(B324,I!$A:$D,4,FALSE))</f>
        <v>0.7</v>
      </c>
      <c r="J324" s="80">
        <f t="shared" si="12"/>
        <v>0.7</v>
      </c>
      <c r="K324" s="81"/>
    </row>
    <row r="325" spans="1:13" ht="15" customHeight="1" x14ac:dyDescent="0.25">
      <c r="A325" s="16" t="s">
        <v>306</v>
      </c>
      <c r="B325" s="20">
        <v>37372</v>
      </c>
      <c r="C325" s="77" t="str">
        <f>VLOOKUP(B325,IF(A325="COMPOSICAO",S!$A:$D,I!$A:$D),2,FALSE)</f>
        <v>EXAMES - HORISTA (COLETADO CAIXA)</v>
      </c>
      <c r="D325" s="77"/>
      <c r="E325" s="77"/>
      <c r="F325" s="77"/>
      <c r="G325" s="16" t="str">
        <f>VLOOKUP(B325,IF(A325="COMPOSICAO",S!$A:$D,I!$A:$D),3,FALSE)</f>
        <v>H</v>
      </c>
      <c r="H325" s="17">
        <v>1</v>
      </c>
      <c r="I325" s="17">
        <f>IF(A325="COMPOSICAO",VLOOKUP("TOTAL - "&amp;B325,COMPOSICAO_AUX_4!$A:$J,10,FALSE),VLOOKUP(B325,I!$A:$D,4,FALSE))</f>
        <v>0.55000000000000004</v>
      </c>
      <c r="J325" s="80">
        <f t="shared" si="12"/>
        <v>0.55000000000000004</v>
      </c>
      <c r="K325" s="81"/>
    </row>
    <row r="326" spans="1:13" ht="15" customHeight="1" x14ac:dyDescent="0.25">
      <c r="A326" s="16" t="s">
        <v>306</v>
      </c>
      <c r="B326" s="20">
        <v>37373</v>
      </c>
      <c r="C326" s="77" t="str">
        <f>VLOOKUP(B326,IF(A326="COMPOSICAO",S!$A:$D,I!$A:$D),2,FALSE)</f>
        <v>SEGURO - HORISTA (COLETADO CAIXA)</v>
      </c>
      <c r="D326" s="77"/>
      <c r="E326" s="77"/>
      <c r="F326" s="77"/>
      <c r="G326" s="16" t="str">
        <f>VLOOKUP(B326,IF(A326="COMPOSICAO",S!$A:$D,I!$A:$D),3,FALSE)</f>
        <v>H</v>
      </c>
      <c r="H326" s="17">
        <v>1</v>
      </c>
      <c r="I326" s="17">
        <f>IF(A326="COMPOSICAO",VLOOKUP("TOTAL - "&amp;B326,COMPOSICAO_AUX_4!$A:$J,10,FALSE),VLOOKUP(B326,I!$A:$D,4,FALSE))</f>
        <v>0.06</v>
      </c>
      <c r="J326" s="80">
        <f t="shared" si="12"/>
        <v>0.06</v>
      </c>
      <c r="K326" s="81"/>
    </row>
    <row r="327" spans="1:13" ht="45" customHeight="1" x14ac:dyDescent="0.25">
      <c r="A327" s="16" t="s">
        <v>306</v>
      </c>
      <c r="B327" s="20">
        <v>43464</v>
      </c>
      <c r="C327" s="77" t="str">
        <f>VLOOKUP(B327,IF(A327="COMPOSICAO",S!$A:$D,I!$A:$D),2,FALSE)</f>
        <v>FERRAMENTAS - FAMILIA OPERADOR ESCAVADEIRA - HORISTA (ENCARGOS COMPLEMENTARES - COLETADO CAIXA)</v>
      </c>
      <c r="D327" s="77"/>
      <c r="E327" s="77"/>
      <c r="F327" s="77"/>
      <c r="G327" s="16" t="str">
        <f>VLOOKUP(B327,IF(A327="COMPOSICAO",S!$A:$D,I!$A:$D),3,FALSE)</f>
        <v>H</v>
      </c>
      <c r="H327" s="17">
        <v>1</v>
      </c>
      <c r="I327" s="17">
        <f>IF(A327="COMPOSICAO",VLOOKUP("TOTAL - "&amp;B327,COMPOSICAO_AUX_4!$A:$J,10,FALSE),VLOOKUP(B327,I!$A:$D,4,FALSE))</f>
        <v>0.01</v>
      </c>
      <c r="J327" s="80">
        <f t="shared" si="12"/>
        <v>0.01</v>
      </c>
      <c r="K327" s="81"/>
    </row>
    <row r="328" spans="1:13" ht="30" customHeight="1" x14ac:dyDescent="0.25">
      <c r="A328" s="16" t="s">
        <v>306</v>
      </c>
      <c r="B328" s="20">
        <v>43488</v>
      </c>
      <c r="C328" s="77" t="str">
        <f>VLOOKUP(B328,IF(A328="COMPOSICAO",S!$A:$D,I!$A:$D),2,FALSE)</f>
        <v>EPI - FAMILIA OPERADOR ESCAVADEIRA - HORISTA (ENCARGOS COMPLEMENTARES - COLETADO CAIXA)</v>
      </c>
      <c r="D328" s="77"/>
      <c r="E328" s="77"/>
      <c r="F328" s="77"/>
      <c r="G328" s="16" t="str">
        <f>VLOOKUP(B328,IF(A328="COMPOSICAO",S!$A:$D,I!$A:$D),3,FALSE)</f>
        <v>H</v>
      </c>
      <c r="H328" s="17">
        <v>1</v>
      </c>
      <c r="I328" s="17">
        <f>IF(A328="COMPOSICAO",VLOOKUP("TOTAL - "&amp;B328,COMPOSICAO_AUX_4!$A:$J,10,FALSE),VLOOKUP(B328,I!$A:$D,4,FALSE))</f>
        <v>0.63</v>
      </c>
      <c r="J328" s="80">
        <f t="shared" si="12"/>
        <v>0.63</v>
      </c>
      <c r="K328" s="81"/>
    </row>
    <row r="329" spans="1:13" ht="45" customHeight="1" x14ac:dyDescent="0.25">
      <c r="A329" s="16" t="s">
        <v>302</v>
      </c>
      <c r="B329" s="20">
        <v>95360</v>
      </c>
      <c r="C329" s="77" t="str">
        <f>VLOOKUP(B329,IF(A329="COMPOSICAO",S!$A:$D,I!$A:$D),2,FALSE)</f>
        <v>CURSO DE CAPACITAÇÃO PARA OPERADOR DE MÁQUINAS E EQUIPAMENTOS (ENCARGOS COMPLEMENTARES) - HORISTA</v>
      </c>
      <c r="D329" s="77"/>
      <c r="E329" s="77"/>
      <c r="F329" s="77"/>
      <c r="G329" s="16" t="str">
        <f>VLOOKUP(B329,IF(A329="COMPOSICAO",S!$A:$D,I!$A:$D),3,FALSE)</f>
        <v>H</v>
      </c>
      <c r="H329" s="17">
        <v>1</v>
      </c>
      <c r="I329" s="17">
        <f>IF(A329="COMPOSICAO",VLOOKUP("TOTAL - "&amp;B329,COMPOSICAO_AUX_4!$A:$J,10,FALSE),VLOOKUP(B329,I!$A:$D,4,FALSE))</f>
        <v>0.17</v>
      </c>
      <c r="J329" s="80">
        <f t="shared" si="12"/>
        <v>0.17</v>
      </c>
      <c r="K329" s="81"/>
    </row>
    <row r="330" spans="1:13" ht="15" customHeight="1" x14ac:dyDescent="0.25">
      <c r="A330" s="23" t="s">
        <v>756</v>
      </c>
      <c r="B330" s="24"/>
      <c r="C330" s="24"/>
      <c r="D330" s="24"/>
      <c r="E330" s="24"/>
      <c r="F330" s="24"/>
      <c r="G330" s="25"/>
      <c r="H330" s="26"/>
      <c r="I330" s="27"/>
      <c r="J330" s="80">
        <f>SUM(J321:K329)</f>
        <v>25.04</v>
      </c>
      <c r="K330" s="81"/>
    </row>
    <row r="331" spans="1:13" ht="15" customHeight="1" x14ac:dyDescent="0.25">
      <c r="A331" s="3"/>
      <c r="B331" s="3"/>
      <c r="C331" s="3"/>
      <c r="D331" s="3"/>
      <c r="E331" s="3"/>
      <c r="F331" s="3"/>
      <c r="G331" s="3"/>
      <c r="H331" s="3"/>
      <c r="I331" s="3"/>
      <c r="J331" s="3"/>
      <c r="K331" s="3"/>
    </row>
    <row r="332" spans="1:13" ht="15" customHeight="1" x14ac:dyDescent="0.25">
      <c r="A332" s="10" t="s">
        <v>295</v>
      </c>
      <c r="B332" s="10" t="s">
        <v>31</v>
      </c>
      <c r="C332" s="82" t="s">
        <v>7</v>
      </c>
      <c r="D332" s="83"/>
      <c r="E332" s="83"/>
      <c r="F332" s="83"/>
      <c r="G332" s="6" t="s">
        <v>32</v>
      </c>
      <c r="H332" s="6" t="s">
        <v>296</v>
      </c>
      <c r="I332" s="6" t="s">
        <v>297</v>
      </c>
      <c r="J332" s="57" t="s">
        <v>9</v>
      </c>
      <c r="K332" s="58"/>
    </row>
    <row r="333" spans="1:13" ht="45" customHeight="1" x14ac:dyDescent="0.25">
      <c r="A333" s="6" t="s">
        <v>572</v>
      </c>
      <c r="B333" s="28">
        <v>91688</v>
      </c>
      <c r="C333" s="91" t="str">
        <f>VLOOKUP(B333,S!$A:$D,2,FALSE)</f>
        <v>SERRA CIRCULAR DE BANCADA COM MOTOR ELÉTRICO POTÊNCIA DE 5HP, COM COIFA PARA DISCO 10" - DEPRECIAÇÃO. AF_08/2015</v>
      </c>
      <c r="D333" s="91"/>
      <c r="E333" s="91"/>
      <c r="F333" s="92"/>
      <c r="G333" s="6" t="str">
        <f>VLOOKUP(B333,S!$A:$D,3,FALSE)</f>
        <v>H</v>
      </c>
      <c r="H333" s="21"/>
      <c r="I333" s="21">
        <f>J335</f>
        <v>0.09</v>
      </c>
      <c r="J333" s="76"/>
      <c r="K333" s="72"/>
      <c r="L333" s="21">
        <f>VLOOKUP(B333,S!$A:$D,4,FALSE)</f>
        <v>0.09</v>
      </c>
      <c r="M333" s="6" t="str">
        <f>IF(ROUND((L333-I333),2)=0,"OK, confere com a tabela.",IF(ROUND((L333-I333),2)&lt;0,"ACIMA ("&amp;TEXT(ROUND(I333*100/L333,4),"0,0000")&amp;" %) da tabela.","ABAIXO ("&amp;TEXT(ROUND(I333*100/L333,4),"0,0000")&amp;" %) da tabela."))</f>
        <v>OK, confere com a tabela.</v>
      </c>
    </row>
    <row r="334" spans="1:13" ht="45" customHeight="1" x14ac:dyDescent="0.25">
      <c r="A334" s="16" t="s">
        <v>306</v>
      </c>
      <c r="B334" s="20">
        <v>14618</v>
      </c>
      <c r="C334" s="77" t="str">
        <f>VLOOKUP(B334,IF(A334="COMPOSICAO",S!$A:$D,I!$A:$D),2,FALSE)</f>
        <v>SERRA CIRCULAR DE BANCADA COM MOTOR ELETRICO, POTENCIA DE *1600* W, PARA DISCO DE DIAMETRO DE 10" (250 MM)</v>
      </c>
      <c r="D334" s="77"/>
      <c r="E334" s="77"/>
      <c r="F334" s="77"/>
      <c r="G334" s="16" t="str">
        <f>VLOOKUP(B334,IF(A334="COMPOSICAO",S!$A:$D,I!$A:$D),3,FALSE)</f>
        <v>UN</v>
      </c>
      <c r="H334" s="32">
        <v>7.2000000000000002E-5</v>
      </c>
      <c r="I334" s="17">
        <f>IF(A334="COMPOSICAO",VLOOKUP("TOTAL - "&amp;B334,COMPOSICAO_AUX_4!$A:$J,10,FALSE),VLOOKUP(B334,I!$A:$D,4,FALSE))</f>
        <v>1385.85</v>
      </c>
      <c r="J334" s="80">
        <f>TRUNC(H334*I334,2)</f>
        <v>0.09</v>
      </c>
      <c r="K334" s="81"/>
    </row>
    <row r="335" spans="1:13" ht="15" customHeight="1" x14ac:dyDescent="0.25">
      <c r="A335" s="23" t="s">
        <v>835</v>
      </c>
      <c r="B335" s="24"/>
      <c r="C335" s="24"/>
      <c r="D335" s="24"/>
      <c r="E335" s="24"/>
      <c r="F335" s="24"/>
      <c r="G335" s="25"/>
      <c r="H335" s="26"/>
      <c r="I335" s="27"/>
      <c r="J335" s="80">
        <f>SUM(J333:K334)</f>
        <v>0.09</v>
      </c>
      <c r="K335" s="81"/>
    </row>
    <row r="336" spans="1:13" ht="15" customHeight="1" x14ac:dyDescent="0.25">
      <c r="A336" s="3"/>
      <c r="B336" s="3"/>
      <c r="C336" s="3"/>
      <c r="D336" s="3"/>
      <c r="E336" s="3"/>
      <c r="F336" s="3"/>
      <c r="G336" s="3"/>
      <c r="H336" s="3"/>
      <c r="I336" s="3"/>
      <c r="J336" s="3"/>
      <c r="K336" s="3"/>
    </row>
    <row r="337" spans="1:13" ht="15" customHeight="1" x14ac:dyDescent="0.25">
      <c r="A337" s="10" t="s">
        <v>295</v>
      </c>
      <c r="B337" s="10" t="s">
        <v>31</v>
      </c>
      <c r="C337" s="82" t="s">
        <v>7</v>
      </c>
      <c r="D337" s="83"/>
      <c r="E337" s="83"/>
      <c r="F337" s="83"/>
      <c r="G337" s="6" t="s">
        <v>32</v>
      </c>
      <c r="H337" s="6" t="s">
        <v>296</v>
      </c>
      <c r="I337" s="6" t="s">
        <v>297</v>
      </c>
      <c r="J337" s="57" t="s">
        <v>9</v>
      </c>
      <c r="K337" s="58"/>
    </row>
    <row r="338" spans="1:13" ht="45" customHeight="1" x14ac:dyDescent="0.25">
      <c r="A338" s="6" t="s">
        <v>572</v>
      </c>
      <c r="B338" s="28">
        <v>91689</v>
      </c>
      <c r="C338" s="91" t="str">
        <f>VLOOKUP(B338,S!$A:$D,2,FALSE)</f>
        <v>SERRA CIRCULAR DE BANCADA COM MOTOR ELÉTRICO POTÊNCIA DE 5HP, COM COIFA PARA DISCO 10" - JUROS. AF_08/2015</v>
      </c>
      <c r="D338" s="91"/>
      <c r="E338" s="91"/>
      <c r="F338" s="92"/>
      <c r="G338" s="6" t="str">
        <f>VLOOKUP(B338,S!$A:$D,3,FALSE)</f>
        <v>H</v>
      </c>
      <c r="H338" s="21"/>
      <c r="I338" s="21">
        <f>J340</f>
        <v>0.01</v>
      </c>
      <c r="J338" s="76"/>
      <c r="K338" s="72"/>
      <c r="L338" s="21">
        <f>VLOOKUP(B338,S!$A:$D,4,FALSE)</f>
        <v>0.01</v>
      </c>
      <c r="M338" s="6" t="str">
        <f>IF(ROUND((L338-I338),2)=0,"OK, confere com a tabela.",IF(ROUND((L338-I338),2)&lt;0,"ACIMA ("&amp;TEXT(ROUND(I338*100/L338,4),"0,0000")&amp;" %) da tabela.","ABAIXO ("&amp;TEXT(ROUND(I338*100/L338,4),"0,0000")&amp;" %) da tabela."))</f>
        <v>OK, confere com a tabela.</v>
      </c>
    </row>
    <row r="339" spans="1:13" ht="45" customHeight="1" x14ac:dyDescent="0.25">
      <c r="A339" s="16" t="s">
        <v>306</v>
      </c>
      <c r="B339" s="20">
        <v>14618</v>
      </c>
      <c r="C339" s="77" t="str">
        <f>VLOOKUP(B339,IF(A339="COMPOSICAO",S!$A:$D,I!$A:$D),2,FALSE)</f>
        <v>SERRA CIRCULAR DE BANCADA COM MOTOR ELETRICO, POTENCIA DE *1600* W, PARA DISCO DE DIAMETRO DE 10" (250 MM)</v>
      </c>
      <c r="D339" s="77"/>
      <c r="E339" s="77"/>
      <c r="F339" s="77"/>
      <c r="G339" s="16" t="str">
        <f>VLOOKUP(B339,IF(A339="COMPOSICAO",S!$A:$D,I!$A:$D),3,FALSE)</f>
        <v>UN</v>
      </c>
      <c r="H339" s="31">
        <v>1.4399999999999999E-5</v>
      </c>
      <c r="I339" s="17">
        <f>IF(A339="COMPOSICAO",VLOOKUP("TOTAL - "&amp;B339,COMPOSICAO_AUX_4!$A:$J,10,FALSE),VLOOKUP(B339,I!$A:$D,4,FALSE))</f>
        <v>1385.85</v>
      </c>
      <c r="J339" s="80">
        <f>TRUNC(H339*I339,2)</f>
        <v>0.01</v>
      </c>
      <c r="K339" s="81"/>
    </row>
    <row r="340" spans="1:13" ht="15" customHeight="1" x14ac:dyDescent="0.25">
      <c r="A340" s="23" t="s">
        <v>836</v>
      </c>
      <c r="B340" s="24"/>
      <c r="C340" s="24"/>
      <c r="D340" s="24"/>
      <c r="E340" s="24"/>
      <c r="F340" s="24"/>
      <c r="G340" s="25"/>
      <c r="H340" s="26"/>
      <c r="I340" s="27"/>
      <c r="J340" s="80">
        <f>SUM(J338:K339)</f>
        <v>0.01</v>
      </c>
      <c r="K340" s="81"/>
    </row>
    <row r="341" spans="1:13" ht="15" customHeight="1" x14ac:dyDescent="0.25">
      <c r="A341" s="3"/>
      <c r="B341" s="3"/>
      <c r="C341" s="3"/>
      <c r="D341" s="3"/>
      <c r="E341" s="3"/>
      <c r="F341" s="3"/>
      <c r="G341" s="3"/>
      <c r="H341" s="3"/>
      <c r="I341" s="3"/>
      <c r="J341" s="3"/>
      <c r="K341" s="3"/>
    </row>
    <row r="342" spans="1:13" ht="15" customHeight="1" x14ac:dyDescent="0.25">
      <c r="A342" s="10" t="s">
        <v>295</v>
      </c>
      <c r="B342" s="10" t="s">
        <v>31</v>
      </c>
      <c r="C342" s="82" t="s">
        <v>7</v>
      </c>
      <c r="D342" s="83"/>
      <c r="E342" s="83"/>
      <c r="F342" s="83"/>
      <c r="G342" s="6" t="s">
        <v>32</v>
      </c>
      <c r="H342" s="6" t="s">
        <v>296</v>
      </c>
      <c r="I342" s="6" t="s">
        <v>297</v>
      </c>
      <c r="J342" s="57" t="s">
        <v>9</v>
      </c>
      <c r="K342" s="58"/>
    </row>
    <row r="343" spans="1:13" ht="45" customHeight="1" x14ac:dyDescent="0.25">
      <c r="A343" s="6" t="s">
        <v>572</v>
      </c>
      <c r="B343" s="28">
        <v>91690</v>
      </c>
      <c r="C343" s="91" t="str">
        <f>VLOOKUP(B343,S!$A:$D,2,FALSE)</f>
        <v>SERRA CIRCULAR DE BANCADA COM MOTOR ELÉTRICO POTÊNCIA DE 5HP, COM COIFA PARA DISCO 10" - MANUTENÇÃO. AF_08/2015</v>
      </c>
      <c r="D343" s="91"/>
      <c r="E343" s="91"/>
      <c r="F343" s="92"/>
      <c r="G343" s="6" t="str">
        <f>VLOOKUP(B343,S!$A:$D,3,FALSE)</f>
        <v>H</v>
      </c>
      <c r="H343" s="21"/>
      <c r="I343" s="21">
        <f>J345</f>
        <v>0.06</v>
      </c>
      <c r="J343" s="76"/>
      <c r="K343" s="72"/>
      <c r="L343" s="21">
        <f>VLOOKUP(B343,S!$A:$D,4,FALSE)</f>
        <v>0.06</v>
      </c>
      <c r="M343" s="6" t="str">
        <f>IF(ROUND((L343-I343),2)=0,"OK, confere com a tabela.",IF(ROUND((L343-I343),2)&lt;0,"ACIMA ("&amp;TEXT(ROUND(I343*100/L343,4),"0,0000")&amp;" %) da tabela.","ABAIXO ("&amp;TEXT(ROUND(I343*100/L343,4),"0,0000")&amp;" %) da tabela."))</f>
        <v>OK, confere com a tabela.</v>
      </c>
    </row>
    <row r="344" spans="1:13" ht="45" customHeight="1" x14ac:dyDescent="0.25">
      <c r="A344" s="16" t="s">
        <v>306</v>
      </c>
      <c r="B344" s="20">
        <v>14618</v>
      </c>
      <c r="C344" s="77" t="str">
        <f>VLOOKUP(B344,IF(A344="COMPOSICAO",S!$A:$D,I!$A:$D),2,FALSE)</f>
        <v>SERRA CIRCULAR DE BANCADA COM MOTOR ELETRICO, POTENCIA DE *1600* W, PARA DISCO DE DIAMETRO DE 10" (250 MM)</v>
      </c>
      <c r="D344" s="77"/>
      <c r="E344" s="77"/>
      <c r="F344" s="77"/>
      <c r="G344" s="16" t="str">
        <f>VLOOKUP(B344,IF(A344="COMPOSICAO",S!$A:$D,I!$A:$D),3,FALSE)</f>
        <v>UN</v>
      </c>
      <c r="H344" s="33">
        <v>5.0000000000000002E-5</v>
      </c>
      <c r="I344" s="17">
        <f>IF(A344="COMPOSICAO",VLOOKUP("TOTAL - "&amp;B344,COMPOSICAO_AUX_4!$A:$J,10,FALSE),VLOOKUP(B344,I!$A:$D,4,FALSE))</f>
        <v>1385.85</v>
      </c>
      <c r="J344" s="80">
        <f>TRUNC(H344*I344,2)</f>
        <v>0.06</v>
      </c>
      <c r="K344" s="81"/>
    </row>
    <row r="345" spans="1:13" ht="15" customHeight="1" x14ac:dyDescent="0.25">
      <c r="A345" s="23" t="s">
        <v>837</v>
      </c>
      <c r="B345" s="24"/>
      <c r="C345" s="24"/>
      <c r="D345" s="24"/>
      <c r="E345" s="24"/>
      <c r="F345" s="24"/>
      <c r="G345" s="25"/>
      <c r="H345" s="26"/>
      <c r="I345" s="27"/>
      <c r="J345" s="80">
        <f>SUM(J343:K344)</f>
        <v>0.06</v>
      </c>
      <c r="K345" s="81"/>
    </row>
    <row r="346" spans="1:13" ht="15" customHeight="1" x14ac:dyDescent="0.25">
      <c r="A346" s="3"/>
      <c r="B346" s="3"/>
      <c r="C346" s="3"/>
      <c r="D346" s="3"/>
      <c r="E346" s="3"/>
      <c r="F346" s="3"/>
      <c r="G346" s="3"/>
      <c r="H346" s="3"/>
      <c r="I346" s="3"/>
      <c r="J346" s="3"/>
      <c r="K346" s="3"/>
    </row>
    <row r="347" spans="1:13" ht="15" customHeight="1" x14ac:dyDescent="0.25">
      <c r="A347" s="10" t="s">
        <v>295</v>
      </c>
      <c r="B347" s="10" t="s">
        <v>31</v>
      </c>
      <c r="C347" s="82" t="s">
        <v>7</v>
      </c>
      <c r="D347" s="83"/>
      <c r="E347" s="83"/>
      <c r="F347" s="83"/>
      <c r="G347" s="6" t="s">
        <v>32</v>
      </c>
      <c r="H347" s="6" t="s">
        <v>296</v>
      </c>
      <c r="I347" s="6" t="s">
        <v>297</v>
      </c>
      <c r="J347" s="57" t="s">
        <v>9</v>
      </c>
      <c r="K347" s="58"/>
    </row>
    <row r="348" spans="1:13" ht="45" customHeight="1" x14ac:dyDescent="0.25">
      <c r="A348" s="6" t="s">
        <v>572</v>
      </c>
      <c r="B348" s="28">
        <v>91691</v>
      </c>
      <c r="C348" s="91" t="str">
        <f>VLOOKUP(B348,S!$A:$D,2,FALSE)</f>
        <v>SERRA CIRCULAR DE BANCADA COM MOTOR ELÉTRICO POTÊNCIA DE 5HP, COM COIFA PARA DISCO 10" - MATERIAIS NA OPERAÇÃO. AF_08/2015</v>
      </c>
      <c r="D348" s="91"/>
      <c r="E348" s="91"/>
      <c r="F348" s="92"/>
      <c r="G348" s="6" t="str">
        <f>VLOOKUP(B348,S!$A:$D,3,FALSE)</f>
        <v>H</v>
      </c>
      <c r="H348" s="21"/>
      <c r="I348" s="21">
        <f>J350</f>
        <v>2.4</v>
      </c>
      <c r="J348" s="76"/>
      <c r="K348" s="72"/>
      <c r="L348" s="21">
        <f>VLOOKUP(B348,S!$A:$D,4,FALSE)</f>
        <v>2.4</v>
      </c>
      <c r="M348" s="6" t="str">
        <f>IF(ROUND((L348-I348),2)=0,"OK, confere com a tabela.",IF(ROUND((L348-I348),2)&lt;0,"ACIMA ("&amp;TEXT(ROUND(I348*100/L348,4),"0,0000")&amp;" %) da tabela.","ABAIXO ("&amp;TEXT(ROUND(I348*100/L348,4),"0,0000")&amp;" %) da tabela."))</f>
        <v>OK, confere com a tabela.</v>
      </c>
    </row>
    <row r="349" spans="1:13" ht="30" customHeight="1" x14ac:dyDescent="0.25">
      <c r="A349" s="16" t="s">
        <v>306</v>
      </c>
      <c r="B349" s="20">
        <v>2705</v>
      </c>
      <c r="C349" s="77" t="str">
        <f>VLOOKUP(B349,IF(A349="COMPOSICAO",S!$A:$D,I!$A:$D),2,FALSE)</f>
        <v>ENERGIA ELETRICA ATE 2000 KWH INDUSTRIAL, SEM DEMANDA</v>
      </c>
      <c r="D349" s="77"/>
      <c r="E349" s="77"/>
      <c r="F349" s="77"/>
      <c r="G349" s="16" t="str">
        <f>VLOOKUP(B349,IF(A349="COMPOSICAO",S!$A:$D,I!$A:$D),3,FALSE)</f>
        <v>KW/H</v>
      </c>
      <c r="H349" s="17">
        <v>3.17</v>
      </c>
      <c r="I349" s="17">
        <f>IF(A349="COMPOSICAO",VLOOKUP("TOTAL - "&amp;B349,COMPOSICAO_AUX_4!$A:$J,10,FALSE),VLOOKUP(B349,I!$A:$D,4,FALSE))</f>
        <v>0.76</v>
      </c>
      <c r="J349" s="80">
        <f>TRUNC(H349*I349,2)</f>
        <v>2.4</v>
      </c>
      <c r="K349" s="81"/>
    </row>
    <row r="350" spans="1:13" ht="15" customHeight="1" x14ac:dyDescent="0.25">
      <c r="A350" s="23" t="s">
        <v>838</v>
      </c>
      <c r="B350" s="24"/>
      <c r="C350" s="24"/>
      <c r="D350" s="24"/>
      <c r="E350" s="24"/>
      <c r="F350" s="24"/>
      <c r="G350" s="25"/>
      <c r="H350" s="26"/>
      <c r="I350" s="27"/>
      <c r="J350" s="80">
        <f>SUM(J348:K349)</f>
        <v>2.4</v>
      </c>
      <c r="K350" s="81"/>
    </row>
    <row r="351" spans="1:13" ht="15" customHeight="1" x14ac:dyDescent="0.25">
      <c r="A351" s="3"/>
      <c r="B351" s="3"/>
      <c r="C351" s="3"/>
      <c r="D351" s="3"/>
      <c r="E351" s="3"/>
      <c r="F351" s="3"/>
      <c r="G351" s="3"/>
      <c r="H351" s="3"/>
      <c r="I351" s="3"/>
      <c r="J351" s="3"/>
      <c r="K351" s="3"/>
    </row>
    <row r="352" spans="1:13" ht="15" customHeight="1" x14ac:dyDescent="0.25">
      <c r="A352" s="10" t="s">
        <v>295</v>
      </c>
      <c r="B352" s="10" t="s">
        <v>31</v>
      </c>
      <c r="C352" s="82" t="s">
        <v>7</v>
      </c>
      <c r="D352" s="83"/>
      <c r="E352" s="83"/>
      <c r="F352" s="83"/>
      <c r="G352" s="6" t="s">
        <v>32</v>
      </c>
      <c r="H352" s="6" t="s">
        <v>296</v>
      </c>
      <c r="I352" s="6" t="s">
        <v>297</v>
      </c>
      <c r="J352" s="57" t="s">
        <v>9</v>
      </c>
      <c r="K352" s="58"/>
    </row>
    <row r="353" spans="1:13" ht="30" customHeight="1" x14ac:dyDescent="0.25">
      <c r="A353" s="6" t="s">
        <v>502</v>
      </c>
      <c r="B353" s="28">
        <v>88296</v>
      </c>
      <c r="C353" s="91" t="str">
        <f>VLOOKUP(B353,S!$A:$D,2,FALSE)</f>
        <v>OPERADOR DE GUINDASTE COM ENCARGOS COMPLEMENTARES</v>
      </c>
      <c r="D353" s="91"/>
      <c r="E353" s="91"/>
      <c r="F353" s="92"/>
      <c r="G353" s="6" t="str">
        <f>VLOOKUP(B353,S!$A:$D,3,FALSE)</f>
        <v>H</v>
      </c>
      <c r="H353" s="21"/>
      <c r="I353" s="21">
        <f>J362</f>
        <v>23.669999999999998</v>
      </c>
      <c r="J353" s="76"/>
      <c r="K353" s="72"/>
      <c r="L353" s="21">
        <f>VLOOKUP(B353,S!$A:$D,4,FALSE)</f>
        <v>23.67</v>
      </c>
      <c r="M353" s="6" t="str">
        <f>IF(ROUND((L353-I353),2)=0,"OK, confere com a tabela.",IF(ROUND((L353-I353),2)&lt;0,"ACIMA ("&amp;TEXT(ROUND(I353*100/L353,4),"0,0000")&amp;" %) da tabela.","ABAIXO ("&amp;TEXT(ROUND(I353*100/L353,4),"0,0000")&amp;" %) da tabela."))</f>
        <v>OK, confere com a tabela.</v>
      </c>
    </row>
    <row r="354" spans="1:13" ht="15" customHeight="1" x14ac:dyDescent="0.25">
      <c r="A354" s="16" t="s">
        <v>306</v>
      </c>
      <c r="B354" s="20">
        <v>4254</v>
      </c>
      <c r="C354" s="77" t="str">
        <f>VLOOKUP(B354,IF(A354="COMPOSICAO",S!$A:$D,I!$A:$D),2,FALSE)</f>
        <v>OPERADOR DE GUINDASTE</v>
      </c>
      <c r="D354" s="77"/>
      <c r="E354" s="77"/>
      <c r="F354" s="77"/>
      <c r="G354" s="16" t="str">
        <f>VLOOKUP(B354,IF(A354="COMPOSICAO",S!$A:$D,I!$A:$D),3,FALSE)</f>
        <v>H</v>
      </c>
      <c r="H354" s="17">
        <v>1</v>
      </c>
      <c r="I354" s="17">
        <f>IF(A354="COMPOSICAO",VLOOKUP("TOTAL - "&amp;B354,COMPOSICAO_AUX_4!$A:$J,10,FALSE),VLOOKUP(B354,I!$A:$D,4,FALSE))</f>
        <v>19.64</v>
      </c>
      <c r="J354" s="80">
        <f t="shared" ref="J354:J361" si="13">TRUNC(H354*I354,2)</f>
        <v>19.64</v>
      </c>
      <c r="K354" s="81"/>
    </row>
    <row r="355" spans="1:13" ht="15" customHeight="1" x14ac:dyDescent="0.25">
      <c r="A355" s="16" t="s">
        <v>306</v>
      </c>
      <c r="B355" s="20">
        <v>37370</v>
      </c>
      <c r="C355" s="77" t="str">
        <f>VLOOKUP(B355,IF(A355="COMPOSICAO",S!$A:$D,I!$A:$D),2,FALSE)</f>
        <v>ALIMENTACAO - HORISTA (COLETADO CAIXA)</v>
      </c>
      <c r="D355" s="77"/>
      <c r="E355" s="77"/>
      <c r="F355" s="77"/>
      <c r="G355" s="16" t="str">
        <f>VLOOKUP(B355,IF(A355="COMPOSICAO",S!$A:$D,I!$A:$D),3,FALSE)</f>
        <v>H</v>
      </c>
      <c r="H355" s="17">
        <v>1</v>
      </c>
      <c r="I355" s="17">
        <f>IF(A355="COMPOSICAO",VLOOKUP("TOTAL - "&amp;B355,COMPOSICAO_AUX_4!$A:$J,10,FALSE),VLOOKUP(B355,I!$A:$D,4,FALSE))</f>
        <v>1.86</v>
      </c>
      <c r="J355" s="80">
        <f t="shared" si="13"/>
        <v>1.86</v>
      </c>
      <c r="K355" s="81"/>
    </row>
    <row r="356" spans="1:13" ht="15" customHeight="1" x14ac:dyDescent="0.25">
      <c r="A356" s="16" t="s">
        <v>306</v>
      </c>
      <c r="B356" s="20">
        <v>37371</v>
      </c>
      <c r="C356" s="77" t="str">
        <f>VLOOKUP(B356,IF(A356="COMPOSICAO",S!$A:$D,I!$A:$D),2,FALSE)</f>
        <v>TRANSPORTE - HORISTA (COLETADO CAIXA)</v>
      </c>
      <c r="D356" s="77"/>
      <c r="E356" s="77"/>
      <c r="F356" s="77"/>
      <c r="G356" s="16" t="str">
        <f>VLOOKUP(B356,IF(A356="COMPOSICAO",S!$A:$D,I!$A:$D),3,FALSE)</f>
        <v>H</v>
      </c>
      <c r="H356" s="17">
        <v>1</v>
      </c>
      <c r="I356" s="17">
        <f>IF(A356="COMPOSICAO",VLOOKUP("TOTAL - "&amp;B356,COMPOSICAO_AUX_4!$A:$J,10,FALSE),VLOOKUP(B356,I!$A:$D,4,FALSE))</f>
        <v>0.7</v>
      </c>
      <c r="J356" s="80">
        <f t="shared" si="13"/>
        <v>0.7</v>
      </c>
      <c r="K356" s="81"/>
    </row>
    <row r="357" spans="1:13" ht="15" customHeight="1" x14ac:dyDescent="0.25">
      <c r="A357" s="16" t="s">
        <v>306</v>
      </c>
      <c r="B357" s="20">
        <v>37372</v>
      </c>
      <c r="C357" s="77" t="str">
        <f>VLOOKUP(B357,IF(A357="COMPOSICAO",S!$A:$D,I!$A:$D),2,FALSE)</f>
        <v>EXAMES - HORISTA (COLETADO CAIXA)</v>
      </c>
      <c r="D357" s="77"/>
      <c r="E357" s="77"/>
      <c r="F357" s="77"/>
      <c r="G357" s="16" t="str">
        <f>VLOOKUP(B357,IF(A357="COMPOSICAO",S!$A:$D,I!$A:$D),3,FALSE)</f>
        <v>H</v>
      </c>
      <c r="H357" s="17">
        <v>1</v>
      </c>
      <c r="I357" s="17">
        <f>IF(A357="COMPOSICAO",VLOOKUP("TOTAL - "&amp;B357,COMPOSICAO_AUX_4!$A:$J,10,FALSE),VLOOKUP(B357,I!$A:$D,4,FALSE))</f>
        <v>0.55000000000000004</v>
      </c>
      <c r="J357" s="80">
        <f t="shared" si="13"/>
        <v>0.55000000000000004</v>
      </c>
      <c r="K357" s="81"/>
    </row>
    <row r="358" spans="1:13" ht="15" customHeight="1" x14ac:dyDescent="0.25">
      <c r="A358" s="16" t="s">
        <v>306</v>
      </c>
      <c r="B358" s="20">
        <v>37373</v>
      </c>
      <c r="C358" s="77" t="str">
        <f>VLOOKUP(B358,IF(A358="COMPOSICAO",S!$A:$D,I!$A:$D),2,FALSE)</f>
        <v>SEGURO - HORISTA (COLETADO CAIXA)</v>
      </c>
      <c r="D358" s="77"/>
      <c r="E358" s="77"/>
      <c r="F358" s="77"/>
      <c r="G358" s="16" t="str">
        <f>VLOOKUP(B358,IF(A358="COMPOSICAO",S!$A:$D,I!$A:$D),3,FALSE)</f>
        <v>H</v>
      </c>
      <c r="H358" s="17">
        <v>1</v>
      </c>
      <c r="I358" s="17">
        <f>IF(A358="COMPOSICAO",VLOOKUP("TOTAL - "&amp;B358,COMPOSICAO_AUX_4!$A:$J,10,FALSE),VLOOKUP(B358,I!$A:$D,4,FALSE))</f>
        <v>0.06</v>
      </c>
      <c r="J358" s="80">
        <f t="shared" si="13"/>
        <v>0.06</v>
      </c>
      <c r="K358" s="81"/>
    </row>
    <row r="359" spans="1:13" ht="45" customHeight="1" x14ac:dyDescent="0.25">
      <c r="A359" s="16" t="s">
        <v>306</v>
      </c>
      <c r="B359" s="20">
        <v>43464</v>
      </c>
      <c r="C359" s="77" t="str">
        <f>VLOOKUP(B359,IF(A359="COMPOSICAO",S!$A:$D,I!$A:$D),2,FALSE)</f>
        <v>FERRAMENTAS - FAMILIA OPERADOR ESCAVADEIRA - HORISTA (ENCARGOS COMPLEMENTARES - COLETADO CAIXA)</v>
      </c>
      <c r="D359" s="77"/>
      <c r="E359" s="77"/>
      <c r="F359" s="77"/>
      <c r="G359" s="16" t="str">
        <f>VLOOKUP(B359,IF(A359="COMPOSICAO",S!$A:$D,I!$A:$D),3,FALSE)</f>
        <v>H</v>
      </c>
      <c r="H359" s="17">
        <v>1</v>
      </c>
      <c r="I359" s="17">
        <f>IF(A359="COMPOSICAO",VLOOKUP("TOTAL - "&amp;B359,COMPOSICAO_AUX_4!$A:$J,10,FALSE),VLOOKUP(B359,I!$A:$D,4,FALSE))</f>
        <v>0.01</v>
      </c>
      <c r="J359" s="80">
        <f t="shared" si="13"/>
        <v>0.01</v>
      </c>
      <c r="K359" s="81"/>
    </row>
    <row r="360" spans="1:13" ht="30" customHeight="1" x14ac:dyDescent="0.25">
      <c r="A360" s="16" t="s">
        <v>306</v>
      </c>
      <c r="B360" s="20">
        <v>43488</v>
      </c>
      <c r="C360" s="77" t="str">
        <f>VLOOKUP(B360,IF(A360="COMPOSICAO",S!$A:$D,I!$A:$D),2,FALSE)</f>
        <v>EPI - FAMILIA OPERADOR ESCAVADEIRA - HORISTA (ENCARGOS COMPLEMENTARES - COLETADO CAIXA)</v>
      </c>
      <c r="D360" s="77"/>
      <c r="E360" s="77"/>
      <c r="F360" s="77"/>
      <c r="G360" s="16" t="str">
        <f>VLOOKUP(B360,IF(A360="COMPOSICAO",S!$A:$D,I!$A:$D),3,FALSE)</f>
        <v>H</v>
      </c>
      <c r="H360" s="17">
        <v>1</v>
      </c>
      <c r="I360" s="17">
        <f>IF(A360="COMPOSICAO",VLOOKUP("TOTAL - "&amp;B360,COMPOSICAO_AUX_4!$A:$J,10,FALSE),VLOOKUP(B360,I!$A:$D,4,FALSE))</f>
        <v>0.63</v>
      </c>
      <c r="J360" s="80">
        <f t="shared" si="13"/>
        <v>0.63</v>
      </c>
      <c r="K360" s="81"/>
    </row>
    <row r="361" spans="1:13" ht="30" customHeight="1" x14ac:dyDescent="0.25">
      <c r="A361" s="16" t="s">
        <v>302</v>
      </c>
      <c r="B361" s="20">
        <v>95359</v>
      </c>
      <c r="C361" s="77" t="str">
        <f>VLOOKUP(B361,IF(A361="COMPOSICAO",S!$A:$D,I!$A:$D),2,FALSE)</f>
        <v>CURSO DE CAPACITAÇÃO PARA OPERADOR DE GUINDASTE (ENCARGOS COMPLEMENTARES) - HORISTA</v>
      </c>
      <c r="D361" s="77"/>
      <c r="E361" s="77"/>
      <c r="F361" s="77"/>
      <c r="G361" s="16" t="str">
        <f>VLOOKUP(B361,IF(A361="COMPOSICAO",S!$A:$D,I!$A:$D),3,FALSE)</f>
        <v>H</v>
      </c>
      <c r="H361" s="17">
        <v>1</v>
      </c>
      <c r="I361" s="17">
        <f>IF(A361="COMPOSICAO",VLOOKUP("TOTAL - "&amp;B361,COMPOSICAO_AUX_4!$A:$J,10,FALSE),VLOOKUP(B361,I!$A:$D,4,FALSE))</f>
        <v>0.22</v>
      </c>
      <c r="J361" s="80">
        <f t="shared" si="13"/>
        <v>0.22</v>
      </c>
      <c r="K361" s="81"/>
    </row>
    <row r="362" spans="1:13" ht="15" customHeight="1" x14ac:dyDescent="0.25">
      <c r="A362" s="23" t="s">
        <v>839</v>
      </c>
      <c r="B362" s="24"/>
      <c r="C362" s="24"/>
      <c r="D362" s="24"/>
      <c r="E362" s="24"/>
      <c r="F362" s="24"/>
      <c r="G362" s="25"/>
      <c r="H362" s="26"/>
      <c r="I362" s="27"/>
      <c r="J362" s="80">
        <f>SUM(J353:K361)</f>
        <v>23.669999999999998</v>
      </c>
      <c r="K362" s="81"/>
    </row>
    <row r="363" spans="1:13" ht="15" customHeight="1" x14ac:dyDescent="0.25">
      <c r="A363" s="3"/>
      <c r="B363" s="3"/>
      <c r="C363" s="3"/>
      <c r="D363" s="3"/>
      <c r="E363" s="3"/>
      <c r="F363" s="3"/>
      <c r="G363" s="3"/>
      <c r="H363" s="3"/>
      <c r="I363" s="3"/>
      <c r="J363" s="3"/>
      <c r="K363" s="3"/>
    </row>
    <row r="364" spans="1:13" ht="15" customHeight="1" x14ac:dyDescent="0.25">
      <c r="A364" s="10" t="s">
        <v>295</v>
      </c>
      <c r="B364" s="10" t="s">
        <v>31</v>
      </c>
      <c r="C364" s="82" t="s">
        <v>7</v>
      </c>
      <c r="D364" s="83"/>
      <c r="E364" s="83"/>
      <c r="F364" s="83"/>
      <c r="G364" s="6" t="s">
        <v>32</v>
      </c>
      <c r="H364" s="6" t="s">
        <v>296</v>
      </c>
      <c r="I364" s="6" t="s">
        <v>297</v>
      </c>
      <c r="J364" s="57" t="s">
        <v>9</v>
      </c>
      <c r="K364" s="58"/>
    </row>
    <row r="365" spans="1:13" ht="60" customHeight="1" x14ac:dyDescent="0.25">
      <c r="A365" s="6" t="s">
        <v>572</v>
      </c>
      <c r="B365" s="28">
        <v>93283</v>
      </c>
      <c r="C365" s="91" t="str">
        <f>VLOOKUP(B365,S!$A:$D,2,FALSE)</f>
        <v>GUINDASTE HIDRÁULICO AUTOPROPELIDO, COM LANÇA TELESCÓPICA 40 M, CAPACIDADE MÁXIMA 60 T, POTÊNCIA 260 KW - DEPRECIAÇÃO. AF_03/2016</v>
      </c>
      <c r="D365" s="91"/>
      <c r="E365" s="91"/>
      <c r="F365" s="92"/>
      <c r="G365" s="6" t="str">
        <f>VLOOKUP(B365,S!$A:$D,3,FALSE)</f>
        <v>H</v>
      </c>
      <c r="H365" s="21"/>
      <c r="I365" s="21">
        <f>J367</f>
        <v>73.47</v>
      </c>
      <c r="J365" s="76"/>
      <c r="K365" s="72"/>
      <c r="L365" s="21">
        <f>VLOOKUP(B365,S!$A:$D,4,FALSE)</f>
        <v>73.47</v>
      </c>
      <c r="M365" s="6" t="str">
        <f>IF(ROUND((L365-I365),2)=0,"OK, confere com a tabela.",IF(ROUND((L365-I365),2)&lt;0,"ACIMA ("&amp;TEXT(ROUND(I365*100/L365,4),"0,0000")&amp;" %) da tabela.","ABAIXO ("&amp;TEXT(ROUND(I365*100/L365,4),"0,0000")&amp;" %) da tabela."))</f>
        <v>OK, confere com a tabela.</v>
      </c>
    </row>
    <row r="366" spans="1:13" ht="45" customHeight="1" x14ac:dyDescent="0.25">
      <c r="A366" s="16" t="s">
        <v>306</v>
      </c>
      <c r="B366" s="20">
        <v>25954</v>
      </c>
      <c r="C366" s="77" t="str">
        <f>VLOOKUP(B366,IF(A366="COMPOSICAO",S!$A:$D,I!$A:$D),2,FALSE)</f>
        <v>GUINDASTE HIDRAULICO AUTOPROPELIDO, COM LANCA TELESCOPICA 40 M, CAPACIDADE MAXIMA 60 T, POTENCIA 260 KW, TRACAO 6 X 6</v>
      </c>
      <c r="D366" s="77"/>
      <c r="E366" s="77"/>
      <c r="F366" s="77"/>
      <c r="G366" s="16" t="str">
        <f>VLOOKUP(B366,IF(A366="COMPOSICAO",S!$A:$D,I!$A:$D),3,FALSE)</f>
        <v>UN</v>
      </c>
      <c r="H366" s="33">
        <v>4.0000000000000003E-5</v>
      </c>
      <c r="I366" s="17">
        <f>IF(A366="COMPOSICAO",VLOOKUP("TOTAL - "&amp;B366,COMPOSICAO_AUX_4!$A:$J,10,FALSE),VLOOKUP(B366,I!$A:$D,4,FALSE))</f>
        <v>1836864.06</v>
      </c>
      <c r="J366" s="80">
        <f>TRUNC(H366*I366,2)</f>
        <v>73.47</v>
      </c>
      <c r="K366" s="81"/>
    </row>
    <row r="367" spans="1:13" ht="15" customHeight="1" x14ac:dyDescent="0.25">
      <c r="A367" s="23" t="s">
        <v>840</v>
      </c>
      <c r="B367" s="24"/>
      <c r="C367" s="24"/>
      <c r="D367" s="24"/>
      <c r="E367" s="24"/>
      <c r="F367" s="24"/>
      <c r="G367" s="25"/>
      <c r="H367" s="26"/>
      <c r="I367" s="27"/>
      <c r="J367" s="80">
        <f>SUM(J365:K366)</f>
        <v>73.47</v>
      </c>
      <c r="K367" s="81"/>
    </row>
    <row r="368" spans="1:13" ht="15" customHeight="1" x14ac:dyDescent="0.25">
      <c r="A368" s="3"/>
      <c r="B368" s="3"/>
      <c r="C368" s="3"/>
      <c r="D368" s="3"/>
      <c r="E368" s="3"/>
      <c r="F368" s="3"/>
      <c r="G368" s="3"/>
      <c r="H368" s="3"/>
      <c r="I368" s="3"/>
      <c r="J368" s="3"/>
      <c r="K368" s="3"/>
    </row>
    <row r="369" spans="1:13" ht="15" customHeight="1" x14ac:dyDescent="0.25">
      <c r="A369" s="10" t="s">
        <v>295</v>
      </c>
      <c r="B369" s="10" t="s">
        <v>31</v>
      </c>
      <c r="C369" s="82" t="s">
        <v>7</v>
      </c>
      <c r="D369" s="83"/>
      <c r="E369" s="83"/>
      <c r="F369" s="83"/>
      <c r="G369" s="6" t="s">
        <v>32</v>
      </c>
      <c r="H369" s="6" t="s">
        <v>296</v>
      </c>
      <c r="I369" s="6" t="s">
        <v>297</v>
      </c>
      <c r="J369" s="57" t="s">
        <v>9</v>
      </c>
      <c r="K369" s="58"/>
    </row>
    <row r="370" spans="1:13" ht="45" customHeight="1" x14ac:dyDescent="0.25">
      <c r="A370" s="6" t="s">
        <v>572</v>
      </c>
      <c r="B370" s="28">
        <v>93284</v>
      </c>
      <c r="C370" s="91" t="str">
        <f>VLOOKUP(B370,S!$A:$D,2,FALSE)</f>
        <v>GUINDASTE HIDRÁULICO AUTOPROPELIDO, COM LANÇA TELESCÓPICA 40 M, CAPACIDADE MÁXIMA 60 T, POTÊNCIA 260 KW - JUROS. AF_03/2016</v>
      </c>
      <c r="D370" s="91"/>
      <c r="E370" s="91"/>
      <c r="F370" s="92"/>
      <c r="G370" s="6" t="str">
        <f>VLOOKUP(B370,S!$A:$D,3,FALSE)</f>
        <v>H</v>
      </c>
      <c r="H370" s="21"/>
      <c r="I370" s="21">
        <f>J372</f>
        <v>13.96</v>
      </c>
      <c r="J370" s="76"/>
      <c r="K370" s="72"/>
      <c r="L370" s="21">
        <f>VLOOKUP(B370,S!$A:$D,4,FALSE)</f>
        <v>13.96</v>
      </c>
      <c r="M370" s="6" t="str">
        <f>IF(ROUND((L370-I370),2)=0,"OK, confere com a tabela.",IF(ROUND((L370-I370),2)&lt;0,"ACIMA ("&amp;TEXT(ROUND(I370*100/L370,4),"0,0000")&amp;" %) da tabela.","ABAIXO ("&amp;TEXT(ROUND(I370*100/L370,4),"0,0000")&amp;" %) da tabela."))</f>
        <v>OK, confere com a tabela.</v>
      </c>
    </row>
    <row r="371" spans="1:13" ht="45" customHeight="1" x14ac:dyDescent="0.25">
      <c r="A371" s="16" t="s">
        <v>306</v>
      </c>
      <c r="B371" s="20">
        <v>25954</v>
      </c>
      <c r="C371" s="77" t="str">
        <f>VLOOKUP(B371,IF(A371="COMPOSICAO",S!$A:$D,I!$A:$D),2,FALSE)</f>
        <v>GUINDASTE HIDRAULICO AUTOPROPELIDO, COM LANCA TELESCOPICA 40 M, CAPACIDADE MAXIMA 60 T, POTENCIA 260 KW, TRACAO 6 X 6</v>
      </c>
      <c r="D371" s="77"/>
      <c r="E371" s="77"/>
      <c r="F371" s="77"/>
      <c r="G371" s="16" t="str">
        <f>VLOOKUP(B371,IF(A371="COMPOSICAO",S!$A:$D,I!$A:$D),3,FALSE)</f>
        <v>UN</v>
      </c>
      <c r="H371" s="31">
        <v>7.6000000000000001E-6</v>
      </c>
      <c r="I371" s="17">
        <f>IF(A371="COMPOSICAO",VLOOKUP("TOTAL - "&amp;B371,COMPOSICAO_AUX_4!$A:$J,10,FALSE),VLOOKUP(B371,I!$A:$D,4,FALSE))</f>
        <v>1836864.06</v>
      </c>
      <c r="J371" s="80">
        <f>TRUNC(H371*I371,2)</f>
        <v>13.96</v>
      </c>
      <c r="K371" s="81"/>
    </row>
    <row r="372" spans="1:13" ht="15" customHeight="1" x14ac:dyDescent="0.25">
      <c r="A372" s="23" t="s">
        <v>841</v>
      </c>
      <c r="B372" s="24"/>
      <c r="C372" s="24"/>
      <c r="D372" s="24"/>
      <c r="E372" s="24"/>
      <c r="F372" s="24"/>
      <c r="G372" s="25"/>
      <c r="H372" s="26"/>
      <c r="I372" s="27"/>
      <c r="J372" s="80">
        <f>SUM(J370:K371)</f>
        <v>13.96</v>
      </c>
      <c r="K372" s="81"/>
    </row>
    <row r="373" spans="1:13" ht="15" customHeight="1" x14ac:dyDescent="0.25">
      <c r="A373" s="3"/>
      <c r="B373" s="3"/>
      <c r="C373" s="3"/>
      <c r="D373" s="3"/>
      <c r="E373" s="3"/>
      <c r="F373" s="3"/>
      <c r="G373" s="3"/>
      <c r="H373" s="3"/>
      <c r="I373" s="3"/>
      <c r="J373" s="3"/>
      <c r="K373" s="3"/>
    </row>
    <row r="374" spans="1:13" ht="15" customHeight="1" x14ac:dyDescent="0.25">
      <c r="A374" s="10" t="s">
        <v>295</v>
      </c>
      <c r="B374" s="10" t="s">
        <v>31</v>
      </c>
      <c r="C374" s="82" t="s">
        <v>7</v>
      </c>
      <c r="D374" s="83"/>
      <c r="E374" s="83"/>
      <c r="F374" s="83"/>
      <c r="G374" s="6" t="s">
        <v>32</v>
      </c>
      <c r="H374" s="6" t="s">
        <v>296</v>
      </c>
      <c r="I374" s="6" t="s">
        <v>297</v>
      </c>
      <c r="J374" s="57" t="s">
        <v>9</v>
      </c>
      <c r="K374" s="58"/>
    </row>
    <row r="375" spans="1:13" ht="45" customHeight="1" x14ac:dyDescent="0.25">
      <c r="A375" s="6" t="s">
        <v>572</v>
      </c>
      <c r="B375" s="28">
        <v>93285</v>
      </c>
      <c r="C375" s="91" t="str">
        <f>VLOOKUP(B375,S!$A:$D,2,FALSE)</f>
        <v>GUINDASTE HIDRÁULICO AUTOPROPELIDO, COM LANÇA TELESCÓPICA 40 M, CAPACIDADE MÁXIMA 60 T, POTÊNCIA 260 KW - MANUTENÇÃO. AF_03/2016</v>
      </c>
      <c r="D375" s="91"/>
      <c r="E375" s="91"/>
      <c r="F375" s="92"/>
      <c r="G375" s="6" t="str">
        <f>VLOOKUP(B375,S!$A:$D,3,FALSE)</f>
        <v>H</v>
      </c>
      <c r="H375" s="21"/>
      <c r="I375" s="21">
        <f>J377</f>
        <v>118.11</v>
      </c>
      <c r="J375" s="76"/>
      <c r="K375" s="72"/>
      <c r="L375" s="21">
        <f>VLOOKUP(B375,S!$A:$D,4,FALSE)</f>
        <v>118.11</v>
      </c>
      <c r="M375" s="6" t="str">
        <f>IF(ROUND((L375-I375),2)=0,"OK, confere com a tabela.",IF(ROUND((L375-I375),2)&lt;0,"ACIMA ("&amp;TEXT(ROUND(I375*100/L375,4),"0,0000")&amp;" %) da tabela.","ABAIXO ("&amp;TEXT(ROUND(I375*100/L375,4),"0,0000")&amp;" %) da tabela."))</f>
        <v>OK, confere com a tabela.</v>
      </c>
    </row>
    <row r="376" spans="1:13" ht="45" customHeight="1" x14ac:dyDescent="0.25">
      <c r="A376" s="16" t="s">
        <v>306</v>
      </c>
      <c r="B376" s="20">
        <v>25954</v>
      </c>
      <c r="C376" s="77" t="str">
        <f>VLOOKUP(B376,IF(A376="COMPOSICAO",S!$A:$D,I!$A:$D),2,FALSE)</f>
        <v>GUINDASTE HIDRAULICO AUTOPROPELIDO, COM LANCA TELESCOPICA 40 M, CAPACIDADE MAXIMA 60 T, POTENCIA 260 KW, TRACAO 6 X 6</v>
      </c>
      <c r="D376" s="77"/>
      <c r="E376" s="77"/>
      <c r="F376" s="77"/>
      <c r="G376" s="16" t="str">
        <f>VLOOKUP(B376,IF(A376="COMPOSICAO",S!$A:$D,I!$A:$D),3,FALSE)</f>
        <v>UN</v>
      </c>
      <c r="H376" s="31">
        <v>6.4300000000000004E-5</v>
      </c>
      <c r="I376" s="17">
        <f>IF(A376="COMPOSICAO",VLOOKUP("TOTAL - "&amp;B376,COMPOSICAO_AUX_4!$A:$J,10,FALSE),VLOOKUP(B376,I!$A:$D,4,FALSE))</f>
        <v>1836864.06</v>
      </c>
      <c r="J376" s="80">
        <f>TRUNC(H376*I376,2)</f>
        <v>118.11</v>
      </c>
      <c r="K376" s="81"/>
    </row>
    <row r="377" spans="1:13" ht="15" customHeight="1" x14ac:dyDescent="0.25">
      <c r="A377" s="23" t="s">
        <v>842</v>
      </c>
      <c r="B377" s="24"/>
      <c r="C377" s="24"/>
      <c r="D377" s="24"/>
      <c r="E377" s="24"/>
      <c r="F377" s="24"/>
      <c r="G377" s="25"/>
      <c r="H377" s="26"/>
      <c r="I377" s="27"/>
      <c r="J377" s="80">
        <f>SUM(J375:K376)</f>
        <v>118.11</v>
      </c>
      <c r="K377" s="81"/>
    </row>
    <row r="378" spans="1:13" ht="15" customHeight="1" x14ac:dyDescent="0.25">
      <c r="A378" s="3"/>
      <c r="B378" s="3"/>
      <c r="C378" s="3"/>
      <c r="D378" s="3"/>
      <c r="E378" s="3"/>
      <c r="F378" s="3"/>
      <c r="G378" s="3"/>
      <c r="H378" s="3"/>
      <c r="I378" s="3"/>
      <c r="J378" s="3"/>
      <c r="K378" s="3"/>
    </row>
    <row r="379" spans="1:13" ht="15" customHeight="1" x14ac:dyDescent="0.25">
      <c r="A379" s="10" t="s">
        <v>295</v>
      </c>
      <c r="B379" s="10" t="s">
        <v>31</v>
      </c>
      <c r="C379" s="82" t="s">
        <v>7</v>
      </c>
      <c r="D379" s="83"/>
      <c r="E379" s="83"/>
      <c r="F379" s="83"/>
      <c r="G379" s="6" t="s">
        <v>32</v>
      </c>
      <c r="H379" s="6" t="s">
        <v>296</v>
      </c>
      <c r="I379" s="6" t="s">
        <v>297</v>
      </c>
      <c r="J379" s="57" t="s">
        <v>9</v>
      </c>
      <c r="K379" s="58"/>
    </row>
    <row r="380" spans="1:13" ht="60" customHeight="1" x14ac:dyDescent="0.25">
      <c r="A380" s="6" t="s">
        <v>572</v>
      </c>
      <c r="B380" s="28">
        <v>93286</v>
      </c>
      <c r="C380" s="91" t="str">
        <f>VLOOKUP(B380,S!$A:$D,2,FALSE)</f>
        <v>GUINDASTE HIDRÁULICO AUTOPROPELIDO, COM LANÇA TELESCÓPICA 40 M, CAPACIDADE MÁXIMA 60 T, POTÊNCIA 260 KW - MATERIAIS NA OPERAÇÃO. AF_03/2016</v>
      </c>
      <c r="D380" s="91"/>
      <c r="E380" s="91"/>
      <c r="F380" s="92"/>
      <c r="G380" s="6" t="str">
        <f>VLOOKUP(B380,S!$A:$D,3,FALSE)</f>
        <v>H</v>
      </c>
      <c r="H380" s="21"/>
      <c r="I380" s="21">
        <f>J382</f>
        <v>167.96</v>
      </c>
      <c r="J380" s="76"/>
      <c r="K380" s="72"/>
      <c r="L380" s="21">
        <f>VLOOKUP(B380,S!$A:$D,4,FALSE)</f>
        <v>167.96</v>
      </c>
      <c r="M380" s="6" t="str">
        <f>IF(ROUND((L380-I380),2)=0,"OK, confere com a tabela.",IF(ROUND((L380-I380),2)&lt;0,"ACIMA ("&amp;TEXT(ROUND(I380*100/L380,4),"0,0000")&amp;" %) da tabela.","ABAIXO ("&amp;TEXT(ROUND(I380*100/L380,4),"0,0000")&amp;" %) da tabela."))</f>
        <v>OK, confere com a tabela.</v>
      </c>
    </row>
    <row r="381" spans="1:13" ht="30" customHeight="1" x14ac:dyDescent="0.25">
      <c r="A381" s="16" t="s">
        <v>306</v>
      </c>
      <c r="B381" s="20">
        <v>2705</v>
      </c>
      <c r="C381" s="77" t="str">
        <f>VLOOKUP(B381,IF(A381="COMPOSICAO",S!$A:$D,I!$A:$D),2,FALSE)</f>
        <v>ENERGIA ELETRICA ATE 2000 KWH INDUSTRIAL, SEM DEMANDA</v>
      </c>
      <c r="D381" s="77"/>
      <c r="E381" s="77"/>
      <c r="F381" s="77"/>
      <c r="G381" s="16" t="str">
        <f>VLOOKUP(B381,IF(A381="COMPOSICAO",S!$A:$D,I!$A:$D),3,FALSE)</f>
        <v>KW/H</v>
      </c>
      <c r="H381" s="17">
        <v>221</v>
      </c>
      <c r="I381" s="17">
        <f>IF(A381="COMPOSICAO",VLOOKUP("TOTAL - "&amp;B381,COMPOSICAO_AUX_4!$A:$J,10,FALSE),VLOOKUP(B381,I!$A:$D,4,FALSE))</f>
        <v>0.76</v>
      </c>
      <c r="J381" s="80">
        <f>TRUNC(H381*I381,2)</f>
        <v>167.96</v>
      </c>
      <c r="K381" s="81"/>
    </row>
    <row r="382" spans="1:13" ht="15" customHeight="1" x14ac:dyDescent="0.25">
      <c r="A382" s="23" t="s">
        <v>843</v>
      </c>
      <c r="B382" s="24"/>
      <c r="C382" s="24"/>
      <c r="D382" s="24"/>
      <c r="E382" s="24"/>
      <c r="F382" s="24"/>
      <c r="G382" s="25"/>
      <c r="H382" s="26"/>
      <c r="I382" s="27"/>
      <c r="J382" s="80">
        <f>SUM(J380:K381)</f>
        <v>167.96</v>
      </c>
      <c r="K382" s="81"/>
    </row>
    <row r="383" spans="1:13" ht="15" customHeight="1" x14ac:dyDescent="0.25">
      <c r="A383" s="3"/>
      <c r="B383" s="3"/>
      <c r="C383" s="3"/>
      <c r="D383" s="3"/>
      <c r="E383" s="3"/>
      <c r="F383" s="3"/>
      <c r="G383" s="3"/>
      <c r="H383" s="3"/>
      <c r="I383" s="3"/>
      <c r="J383" s="3"/>
      <c r="K383" s="3"/>
    </row>
    <row r="384" spans="1:13" ht="15" customHeight="1" x14ac:dyDescent="0.25">
      <c r="A384" s="10" t="s">
        <v>295</v>
      </c>
      <c r="B384" s="10" t="s">
        <v>31</v>
      </c>
      <c r="C384" s="82" t="s">
        <v>7</v>
      </c>
      <c r="D384" s="83"/>
      <c r="E384" s="83"/>
      <c r="F384" s="83"/>
      <c r="G384" s="6" t="s">
        <v>32</v>
      </c>
      <c r="H384" s="6" t="s">
        <v>296</v>
      </c>
      <c r="I384" s="6" t="s">
        <v>297</v>
      </c>
      <c r="J384" s="57" t="s">
        <v>9</v>
      </c>
      <c r="K384" s="58"/>
    </row>
    <row r="385" spans="1:13" ht="60" customHeight="1" x14ac:dyDescent="0.25">
      <c r="A385" s="6" t="s">
        <v>572</v>
      </c>
      <c r="B385" s="28">
        <v>93296</v>
      </c>
      <c r="C385" s="91" t="str">
        <f>VLOOKUP(B385,S!$A:$D,2,FALSE)</f>
        <v>GUINDASTE HIDRÁULICO AUTOPROPELIDO, COM LANÇA TELESCÓPICA 40 M, CAPACIDADE MÁXIMA 60 T, POTÊNCIA 260 KW - IMPOSTOS E SEGUROS. AF_03/2016</v>
      </c>
      <c r="D385" s="91"/>
      <c r="E385" s="91"/>
      <c r="F385" s="92"/>
      <c r="G385" s="6" t="str">
        <f>VLOOKUP(B385,S!$A:$D,3,FALSE)</f>
        <v>H</v>
      </c>
      <c r="H385" s="21"/>
      <c r="I385" s="21">
        <f>J387</f>
        <v>5.14</v>
      </c>
      <c r="J385" s="76"/>
      <c r="K385" s="72"/>
      <c r="L385" s="21">
        <f>VLOOKUP(B385,S!$A:$D,4,FALSE)</f>
        <v>5.14</v>
      </c>
      <c r="M385" s="6" t="str">
        <f>IF(ROUND((L385-I385),2)=0,"OK, confere com a tabela.",IF(ROUND((L385-I385),2)&lt;0,"ACIMA ("&amp;TEXT(ROUND(I385*100/L385,4),"0,0000")&amp;" %) da tabela.","ABAIXO ("&amp;TEXT(ROUND(I385*100/L385,4),"0,0000")&amp;" %) da tabela."))</f>
        <v>OK, confere com a tabela.</v>
      </c>
    </row>
    <row r="386" spans="1:13" ht="45" customHeight="1" x14ac:dyDescent="0.25">
      <c r="A386" s="16" t="s">
        <v>306</v>
      </c>
      <c r="B386" s="20">
        <v>25954</v>
      </c>
      <c r="C386" s="77" t="str">
        <f>VLOOKUP(B386,IF(A386="COMPOSICAO",S!$A:$D,I!$A:$D),2,FALSE)</f>
        <v>GUINDASTE HIDRAULICO AUTOPROPELIDO, COM LANCA TELESCOPICA 40 M, CAPACIDADE MAXIMA 60 T, POTENCIA 260 KW, TRACAO 6 X 6</v>
      </c>
      <c r="D386" s="77"/>
      <c r="E386" s="77"/>
      <c r="F386" s="77"/>
      <c r="G386" s="16" t="str">
        <f>VLOOKUP(B386,IF(A386="COMPOSICAO",S!$A:$D,I!$A:$D),3,FALSE)</f>
        <v>UN</v>
      </c>
      <c r="H386" s="31">
        <v>2.7999999999999999E-6</v>
      </c>
      <c r="I386" s="17">
        <f>IF(A386="COMPOSICAO",VLOOKUP("TOTAL - "&amp;B386,COMPOSICAO_AUX_4!$A:$J,10,FALSE),VLOOKUP(B386,I!$A:$D,4,FALSE))</f>
        <v>1836864.06</v>
      </c>
      <c r="J386" s="80">
        <f>TRUNC(H386*I386,2)</f>
        <v>5.14</v>
      </c>
      <c r="K386" s="81"/>
    </row>
    <row r="387" spans="1:13" ht="15" customHeight="1" x14ac:dyDescent="0.25">
      <c r="A387" s="23" t="s">
        <v>844</v>
      </c>
      <c r="B387" s="24"/>
      <c r="C387" s="24"/>
      <c r="D387" s="24"/>
      <c r="E387" s="24"/>
      <c r="F387" s="24"/>
      <c r="G387" s="25"/>
      <c r="H387" s="26"/>
      <c r="I387" s="27"/>
      <c r="J387" s="80">
        <f>SUM(J385:K386)</f>
        <v>5.14</v>
      </c>
      <c r="K387" s="81"/>
    </row>
    <row r="388" spans="1:13" ht="15" customHeight="1" x14ac:dyDescent="0.25">
      <c r="A388" s="3"/>
      <c r="B388" s="3"/>
      <c r="C388" s="3"/>
      <c r="D388" s="3"/>
      <c r="E388" s="3"/>
      <c r="F388" s="3"/>
      <c r="G388" s="3"/>
      <c r="H388" s="3"/>
      <c r="I388" s="3"/>
      <c r="J388" s="3"/>
      <c r="K388" s="3"/>
    </row>
    <row r="389" spans="1:13" ht="15" customHeight="1" x14ac:dyDescent="0.25">
      <c r="A389" s="10" t="s">
        <v>295</v>
      </c>
      <c r="B389" s="10" t="s">
        <v>31</v>
      </c>
      <c r="C389" s="82" t="s">
        <v>7</v>
      </c>
      <c r="D389" s="83"/>
      <c r="E389" s="83"/>
      <c r="F389" s="83"/>
      <c r="G389" s="6" t="s">
        <v>32</v>
      </c>
      <c r="H389" s="6" t="s">
        <v>296</v>
      </c>
      <c r="I389" s="6" t="s">
        <v>297</v>
      </c>
      <c r="J389" s="57" t="s">
        <v>9</v>
      </c>
      <c r="K389" s="58"/>
    </row>
    <row r="390" spans="1:13" ht="30" customHeight="1" x14ac:dyDescent="0.25">
      <c r="A390" s="6" t="s">
        <v>502</v>
      </c>
      <c r="B390" s="28">
        <v>95358</v>
      </c>
      <c r="C390" s="91" t="str">
        <f>VLOOKUP(B390,S!$A:$D,2,FALSE)</f>
        <v>CURSO DE CAPACITAÇÃO PARA OPERADOR DE GUINCHO (ENCARGOS COMPLEMENTARES) - HORISTA</v>
      </c>
      <c r="D390" s="91"/>
      <c r="E390" s="91"/>
      <c r="F390" s="92"/>
      <c r="G390" s="6" t="str">
        <f>VLOOKUP(B390,S!$A:$D,3,FALSE)</f>
        <v>H</v>
      </c>
      <c r="H390" s="21"/>
      <c r="I390" s="21">
        <f>J392</f>
        <v>0.22</v>
      </c>
      <c r="J390" s="76"/>
      <c r="K390" s="72"/>
      <c r="L390" s="21">
        <f>VLOOKUP(B390,S!$A:$D,4,FALSE)</f>
        <v>0.22</v>
      </c>
      <c r="M390" s="6" t="str">
        <f>IF(ROUND((L390-I390),2)=0,"OK, confere com a tabela.",IF(ROUND((L390-I390),2)&lt;0,"ACIMA ("&amp;TEXT(ROUND(I390*100/L390,4),"0,0000")&amp;" %) da tabela.","ABAIXO ("&amp;TEXT(ROUND(I390*100/L390,4),"0,0000")&amp;" %) da tabela."))</f>
        <v>OK, confere com a tabela.</v>
      </c>
    </row>
    <row r="391" spans="1:13" ht="15" customHeight="1" x14ac:dyDescent="0.25">
      <c r="A391" s="16" t="s">
        <v>306</v>
      </c>
      <c r="B391" s="20">
        <v>4253</v>
      </c>
      <c r="C391" s="77" t="str">
        <f>VLOOKUP(B391,IF(A391="COMPOSICAO",S!$A:$D,I!$A:$D),2,FALSE)</f>
        <v>OPERADOR DE GUINCHO OU GUINCHEIRO</v>
      </c>
      <c r="D391" s="77"/>
      <c r="E391" s="77"/>
      <c r="F391" s="77"/>
      <c r="G391" s="16" t="str">
        <f>VLOOKUP(B391,IF(A391="COMPOSICAO",S!$A:$D,I!$A:$D),3,FALSE)</f>
        <v>H</v>
      </c>
      <c r="H391" s="29">
        <v>1.17E-2</v>
      </c>
      <c r="I391" s="17">
        <f>IF(A391="COMPOSICAO",VLOOKUP("TOTAL - "&amp;B391,COMPOSICAO_AUX_4!$A:$J,10,FALSE),VLOOKUP(B391,I!$A:$D,4,FALSE))</f>
        <v>19.05</v>
      </c>
      <c r="J391" s="80">
        <f>TRUNC(H391*I391,2)</f>
        <v>0.22</v>
      </c>
      <c r="K391" s="81"/>
    </row>
    <row r="392" spans="1:13" ht="15" customHeight="1" x14ac:dyDescent="0.25">
      <c r="A392" s="23" t="s">
        <v>845</v>
      </c>
      <c r="B392" s="24"/>
      <c r="C392" s="24"/>
      <c r="D392" s="24"/>
      <c r="E392" s="24"/>
      <c r="F392" s="24"/>
      <c r="G392" s="25"/>
      <c r="H392" s="26"/>
      <c r="I392" s="27"/>
      <c r="J392" s="80">
        <f>SUM(J390:K391)</f>
        <v>0.22</v>
      </c>
      <c r="K392" s="81"/>
    </row>
    <row r="393" spans="1:13" ht="15" customHeight="1" x14ac:dyDescent="0.25">
      <c r="A393" s="3"/>
      <c r="B393" s="3"/>
      <c r="C393" s="3"/>
      <c r="D393" s="3"/>
      <c r="E393" s="3"/>
      <c r="F393" s="3"/>
      <c r="G393" s="3"/>
      <c r="H393" s="3"/>
      <c r="I393" s="3"/>
      <c r="J393" s="3"/>
      <c r="K393" s="3"/>
    </row>
    <row r="394" spans="1:13" ht="15" customHeight="1" x14ac:dyDescent="0.25">
      <c r="A394" s="10" t="s">
        <v>295</v>
      </c>
      <c r="B394" s="10" t="s">
        <v>31</v>
      </c>
      <c r="C394" s="82" t="s">
        <v>7</v>
      </c>
      <c r="D394" s="83"/>
      <c r="E394" s="83"/>
      <c r="F394" s="83"/>
      <c r="G394" s="6" t="s">
        <v>32</v>
      </c>
      <c r="H394" s="6" t="s">
        <v>296</v>
      </c>
      <c r="I394" s="6" t="s">
        <v>297</v>
      </c>
      <c r="J394" s="57" t="s">
        <v>9</v>
      </c>
      <c r="K394" s="58"/>
    </row>
    <row r="395" spans="1:13" ht="30" customHeight="1" x14ac:dyDescent="0.25">
      <c r="A395" s="6" t="s">
        <v>502</v>
      </c>
      <c r="B395" s="28">
        <v>95324</v>
      </c>
      <c r="C395" s="91" t="str">
        <f>VLOOKUP(B395,S!$A:$D,2,FALSE)</f>
        <v>CURSO DE CAPACITAÇÃO PARA AZULEJISTA OU LADRILHISTA (ENCARGOS COMPLEMENTARES) - HORISTA</v>
      </c>
      <c r="D395" s="91"/>
      <c r="E395" s="91"/>
      <c r="F395" s="92"/>
      <c r="G395" s="6" t="str">
        <f>VLOOKUP(B395,S!$A:$D,3,FALSE)</f>
        <v>H</v>
      </c>
      <c r="H395" s="21"/>
      <c r="I395" s="21">
        <f>J397</f>
        <v>0.19</v>
      </c>
      <c r="J395" s="76"/>
      <c r="K395" s="72"/>
      <c r="L395" s="21">
        <f>VLOOKUP(B395,S!$A:$D,4,FALSE)</f>
        <v>0.19</v>
      </c>
      <c r="M395" s="6" t="str">
        <f>IF(ROUND((L395-I395),2)=0,"OK, confere com a tabela.",IF(ROUND((L395-I395),2)&lt;0,"ACIMA ("&amp;TEXT(ROUND(I395*100/L395,4),"0,0000")&amp;" %) da tabela.","ABAIXO ("&amp;TEXT(ROUND(I395*100/L395,4),"0,0000")&amp;" %) da tabela."))</f>
        <v>OK, confere com a tabela.</v>
      </c>
    </row>
    <row r="396" spans="1:13" ht="15" customHeight="1" x14ac:dyDescent="0.25">
      <c r="A396" s="16" t="s">
        <v>306</v>
      </c>
      <c r="B396" s="20">
        <v>4760</v>
      </c>
      <c r="C396" s="77" t="str">
        <f>VLOOKUP(B396,IF(A396="COMPOSICAO",S!$A:$D,I!$A:$D),2,FALSE)</f>
        <v>AZULEJISTA OU LADRILHEIRO</v>
      </c>
      <c r="D396" s="77"/>
      <c r="E396" s="77"/>
      <c r="F396" s="77"/>
      <c r="G396" s="16" t="str">
        <f>VLOOKUP(B396,IF(A396="COMPOSICAO",S!$A:$D,I!$A:$D),3,FALSE)</f>
        <v>H</v>
      </c>
      <c r="H396" s="29">
        <v>1.0500000000000001E-2</v>
      </c>
      <c r="I396" s="17">
        <f>IF(A396="COMPOSICAO",VLOOKUP("TOTAL - "&amp;B396,COMPOSICAO_AUX_4!$A:$J,10,FALSE),VLOOKUP(B396,I!$A:$D,4,FALSE))</f>
        <v>18.37</v>
      </c>
      <c r="J396" s="80">
        <f>TRUNC(H396*I396,2)</f>
        <v>0.19</v>
      </c>
      <c r="K396" s="81"/>
    </row>
    <row r="397" spans="1:13" ht="15" customHeight="1" x14ac:dyDescent="0.25">
      <c r="A397" s="23" t="s">
        <v>794</v>
      </c>
      <c r="B397" s="24"/>
      <c r="C397" s="24"/>
      <c r="D397" s="24"/>
      <c r="E397" s="24"/>
      <c r="F397" s="24"/>
      <c r="G397" s="25"/>
      <c r="H397" s="26"/>
      <c r="I397" s="27"/>
      <c r="J397" s="80">
        <f>SUM(J395:K396)</f>
        <v>0.19</v>
      </c>
      <c r="K397" s="81"/>
    </row>
    <row r="398" spans="1:13" ht="15" customHeight="1" x14ac:dyDescent="0.25">
      <c r="A398" s="3"/>
      <c r="B398" s="3"/>
      <c r="C398" s="3"/>
      <c r="D398" s="3"/>
      <c r="E398" s="3"/>
      <c r="F398" s="3"/>
      <c r="G398" s="3"/>
      <c r="H398" s="3"/>
      <c r="I398" s="3"/>
      <c r="J398" s="3"/>
      <c r="K398" s="3"/>
    </row>
    <row r="399" spans="1:13" ht="15" customHeight="1" x14ac:dyDescent="0.25">
      <c r="A399" s="10" t="s">
        <v>295</v>
      </c>
      <c r="B399" s="10" t="s">
        <v>31</v>
      </c>
      <c r="C399" s="82" t="s">
        <v>7</v>
      </c>
      <c r="D399" s="83"/>
      <c r="E399" s="83"/>
      <c r="F399" s="83"/>
      <c r="G399" s="6" t="s">
        <v>32</v>
      </c>
      <c r="H399" s="6" t="s">
        <v>296</v>
      </c>
      <c r="I399" s="6" t="s">
        <v>297</v>
      </c>
      <c r="J399" s="57" t="s">
        <v>9</v>
      </c>
      <c r="K399" s="58"/>
    </row>
    <row r="400" spans="1:13" ht="45" customHeight="1" x14ac:dyDescent="0.25">
      <c r="A400" s="6" t="s">
        <v>502</v>
      </c>
      <c r="B400" s="28">
        <v>95317</v>
      </c>
      <c r="C400" s="91" t="str">
        <f>VLOOKUP(B400,S!$A:$D,2,FALSE)</f>
        <v>CURSO DE CAPACITAÇÃO PARA AUXILIAR DE ENCANADOR OU BOMBEIRO HIDRÁULICO (ENCARGOS COMPLEMENTARES) - HORISTA</v>
      </c>
      <c r="D400" s="91"/>
      <c r="E400" s="91"/>
      <c r="F400" s="92"/>
      <c r="G400" s="6" t="str">
        <f>VLOOKUP(B400,S!$A:$D,3,FALSE)</f>
        <v>H</v>
      </c>
      <c r="H400" s="21"/>
      <c r="I400" s="21">
        <f>J402</f>
        <v>0.13</v>
      </c>
      <c r="J400" s="76"/>
      <c r="K400" s="72"/>
      <c r="L400" s="21">
        <f>VLOOKUP(B400,S!$A:$D,4,FALSE)</f>
        <v>0.13</v>
      </c>
      <c r="M400" s="6" t="str">
        <f>IF(ROUND((L400-I400),2)=0,"OK, confere com a tabela.",IF(ROUND((L400-I400),2)&lt;0,"ACIMA ("&amp;TEXT(ROUND(I400*100/L400,4),"0,0000")&amp;" %) da tabela.","ABAIXO ("&amp;TEXT(ROUND(I400*100/L400,4),"0,0000")&amp;" %) da tabela."))</f>
        <v>OK, confere com a tabela.</v>
      </c>
    </row>
    <row r="401" spans="1:13" ht="15" customHeight="1" x14ac:dyDescent="0.25">
      <c r="A401" s="16" t="s">
        <v>306</v>
      </c>
      <c r="B401" s="20">
        <v>246</v>
      </c>
      <c r="C401" s="77" t="str">
        <f>VLOOKUP(B401,IF(A401="COMPOSICAO",S!$A:$D,I!$A:$D),2,FALSE)</f>
        <v>AUXILIAR DE ENCANADOR OU BOMBEIRO HIDRAULICO</v>
      </c>
      <c r="D401" s="77"/>
      <c r="E401" s="77"/>
      <c r="F401" s="77"/>
      <c r="G401" s="16" t="str">
        <f>VLOOKUP(B401,IF(A401="COMPOSICAO",S!$A:$D,I!$A:$D),3,FALSE)</f>
        <v>H</v>
      </c>
      <c r="H401" s="29">
        <v>1.2800000000000001E-2</v>
      </c>
      <c r="I401" s="17">
        <f>IF(A401="COMPOSICAO",VLOOKUP("TOTAL - "&amp;B401,COMPOSICAO_AUX_4!$A:$J,10,FALSE),VLOOKUP(B401,I!$A:$D,4,FALSE))</f>
        <v>10.58</v>
      </c>
      <c r="J401" s="80">
        <f>TRUNC(H401*I401,2)</f>
        <v>0.13</v>
      </c>
      <c r="K401" s="81"/>
    </row>
    <row r="402" spans="1:13" ht="15" customHeight="1" x14ac:dyDescent="0.25">
      <c r="A402" s="23" t="s">
        <v>846</v>
      </c>
      <c r="B402" s="24"/>
      <c r="C402" s="24"/>
      <c r="D402" s="24"/>
      <c r="E402" s="24"/>
      <c r="F402" s="24"/>
      <c r="G402" s="25"/>
      <c r="H402" s="26"/>
      <c r="I402" s="27"/>
      <c r="J402" s="80">
        <f>SUM(J400:K401)</f>
        <v>0.13</v>
      </c>
      <c r="K402" s="81"/>
    </row>
    <row r="403" spans="1:13" ht="15" customHeight="1" x14ac:dyDescent="0.25">
      <c r="A403" s="3"/>
      <c r="B403" s="3"/>
      <c r="C403" s="3"/>
      <c r="D403" s="3"/>
      <c r="E403" s="3"/>
      <c r="F403" s="3"/>
      <c r="G403" s="3"/>
      <c r="H403" s="3"/>
      <c r="I403" s="3"/>
      <c r="J403" s="3"/>
      <c r="K403" s="3"/>
    </row>
    <row r="404" spans="1:13" ht="15" customHeight="1" x14ac:dyDescent="0.25">
      <c r="A404" s="10" t="s">
        <v>295</v>
      </c>
      <c r="B404" s="10" t="s">
        <v>31</v>
      </c>
      <c r="C404" s="82" t="s">
        <v>7</v>
      </c>
      <c r="D404" s="83"/>
      <c r="E404" s="83"/>
      <c r="F404" s="83"/>
      <c r="G404" s="6" t="s">
        <v>32</v>
      </c>
      <c r="H404" s="6" t="s">
        <v>296</v>
      </c>
      <c r="I404" s="6" t="s">
        <v>297</v>
      </c>
      <c r="J404" s="57" t="s">
        <v>9</v>
      </c>
      <c r="K404" s="58"/>
    </row>
    <row r="405" spans="1:13" ht="45" customHeight="1" x14ac:dyDescent="0.25">
      <c r="A405" s="6" t="s">
        <v>502</v>
      </c>
      <c r="B405" s="28">
        <v>95335</v>
      </c>
      <c r="C405" s="91" t="str">
        <f>VLOOKUP(B405,S!$A:$D,2,FALSE)</f>
        <v>CURSO DE CAPACITAÇÃO PARA ENCANADOR OU BOMBEIRO HIDRÁULICO (ENCARGOS COMPLEMENTARES) - HORISTA</v>
      </c>
      <c r="D405" s="91"/>
      <c r="E405" s="91"/>
      <c r="F405" s="92"/>
      <c r="G405" s="6" t="str">
        <f>VLOOKUP(B405,S!$A:$D,3,FALSE)</f>
        <v>H</v>
      </c>
      <c r="H405" s="21"/>
      <c r="I405" s="21">
        <f>J407</f>
        <v>0.19</v>
      </c>
      <c r="J405" s="76"/>
      <c r="K405" s="72"/>
      <c r="L405" s="21">
        <f>VLOOKUP(B405,S!$A:$D,4,FALSE)</f>
        <v>0.19</v>
      </c>
      <c r="M405" s="6" t="str">
        <f>IF(ROUND((L405-I405),2)=0,"OK, confere com a tabela.",IF(ROUND((L405-I405),2)&lt;0,"ACIMA ("&amp;TEXT(ROUND(I405*100/L405,4),"0,0000")&amp;" %) da tabela.","ABAIXO ("&amp;TEXT(ROUND(I405*100/L405,4),"0,0000")&amp;" %) da tabela."))</f>
        <v>OK, confere com a tabela.</v>
      </c>
    </row>
    <row r="406" spans="1:13" ht="15" customHeight="1" x14ac:dyDescent="0.25">
      <c r="A406" s="16" t="s">
        <v>306</v>
      </c>
      <c r="B406" s="20">
        <v>2696</v>
      </c>
      <c r="C406" s="77" t="str">
        <f>VLOOKUP(B406,IF(A406="COMPOSICAO",S!$A:$D,I!$A:$D),2,FALSE)</f>
        <v>ENCANADOR OU BOMBEIRO HIDRAULICO</v>
      </c>
      <c r="D406" s="77"/>
      <c r="E406" s="77"/>
      <c r="F406" s="77"/>
      <c r="G406" s="16" t="str">
        <f>VLOOKUP(B406,IF(A406="COMPOSICAO",S!$A:$D,I!$A:$D),3,FALSE)</f>
        <v>H</v>
      </c>
      <c r="H406" s="29">
        <v>1.2800000000000001E-2</v>
      </c>
      <c r="I406" s="17">
        <f>IF(A406="COMPOSICAO",VLOOKUP("TOTAL - "&amp;B406,COMPOSICAO_AUX_4!$A:$J,10,FALSE),VLOOKUP(B406,I!$A:$D,4,FALSE))</f>
        <v>14.93</v>
      </c>
      <c r="J406" s="80">
        <f>TRUNC(H406*I406,2)</f>
        <v>0.19</v>
      </c>
      <c r="K406" s="81"/>
    </row>
    <row r="407" spans="1:13" ht="15" customHeight="1" x14ac:dyDescent="0.25">
      <c r="A407" s="23" t="s">
        <v>813</v>
      </c>
      <c r="B407" s="24"/>
      <c r="C407" s="24"/>
      <c r="D407" s="24"/>
      <c r="E407" s="24"/>
      <c r="F407" s="24"/>
      <c r="G407" s="25"/>
      <c r="H407" s="26"/>
      <c r="I407" s="27"/>
      <c r="J407" s="80">
        <f>SUM(J405:K406)</f>
        <v>0.19</v>
      </c>
      <c r="K407" s="81"/>
    </row>
    <row r="408" spans="1:13" ht="15" customHeight="1" x14ac:dyDescent="0.25">
      <c r="A408" s="3"/>
      <c r="B408" s="3"/>
      <c r="C408" s="3"/>
      <c r="D408" s="3"/>
      <c r="E408" s="3"/>
      <c r="F408" s="3"/>
      <c r="G408" s="3"/>
      <c r="H408" s="3"/>
      <c r="I408" s="3"/>
      <c r="J408" s="3"/>
      <c r="K408" s="3"/>
    </row>
    <row r="409" spans="1:13" ht="15" customHeight="1" x14ac:dyDescent="0.25">
      <c r="A409" s="10" t="s">
        <v>295</v>
      </c>
      <c r="B409" s="10" t="s">
        <v>31</v>
      </c>
      <c r="C409" s="82" t="s">
        <v>7</v>
      </c>
      <c r="D409" s="83"/>
      <c r="E409" s="83"/>
      <c r="F409" s="83"/>
      <c r="G409" s="6" t="s">
        <v>32</v>
      </c>
      <c r="H409" s="6" t="s">
        <v>296</v>
      </c>
      <c r="I409" s="6" t="s">
        <v>297</v>
      </c>
      <c r="J409" s="57" t="s">
        <v>9</v>
      </c>
      <c r="K409" s="58"/>
    </row>
    <row r="410" spans="1:13" ht="15" customHeight="1" x14ac:dyDescent="0.25">
      <c r="A410" s="6" t="s">
        <v>502</v>
      </c>
      <c r="B410" s="28">
        <v>88316</v>
      </c>
      <c r="C410" s="91" t="str">
        <f>VLOOKUP(B410,S!$A:$D,2,FALSE)</f>
        <v>SERVENTE COM ENCARGOS COMPLEMENTARES</v>
      </c>
      <c r="D410" s="91"/>
      <c r="E410" s="91"/>
      <c r="F410" s="92"/>
      <c r="G410" s="6" t="str">
        <f>VLOOKUP(B410,S!$A:$D,3,FALSE)</f>
        <v>H</v>
      </c>
      <c r="H410" s="21"/>
      <c r="I410" s="21">
        <f>J419</f>
        <v>15.35</v>
      </c>
      <c r="J410" s="76"/>
      <c r="K410" s="72"/>
      <c r="L410" s="21">
        <f>VLOOKUP(B410,S!$A:$D,4,FALSE)</f>
        <v>15.35</v>
      </c>
      <c r="M410" s="6" t="str">
        <f>IF(ROUND((L410-I410),2)=0,"OK, confere com a tabela.",IF(ROUND((L410-I410),2)&lt;0,"ACIMA ("&amp;TEXT(ROUND(I410*100/L410,4),"0,0000")&amp;" %) da tabela.","ABAIXO ("&amp;TEXT(ROUND(I410*100/L410,4),"0,0000")&amp;" %) da tabela."))</f>
        <v>OK, confere com a tabela.</v>
      </c>
    </row>
    <row r="411" spans="1:13" ht="15" customHeight="1" x14ac:dyDescent="0.25">
      <c r="A411" s="16" t="s">
        <v>306</v>
      </c>
      <c r="B411" s="20">
        <v>6111</v>
      </c>
      <c r="C411" s="77" t="str">
        <f>VLOOKUP(B411,IF(A411="COMPOSICAO",S!$A:$D,I!$A:$D),2,FALSE)</f>
        <v>SERVENTE DE OBRAS</v>
      </c>
      <c r="D411" s="77"/>
      <c r="E411" s="77"/>
      <c r="F411" s="77"/>
      <c r="G411" s="16" t="str">
        <f>VLOOKUP(B411,IF(A411="COMPOSICAO",S!$A:$D,I!$A:$D),3,FALSE)</f>
        <v>H</v>
      </c>
      <c r="H411" s="17">
        <v>1</v>
      </c>
      <c r="I411" s="17">
        <f>IF(A411="COMPOSICAO",VLOOKUP("TOTAL - "&amp;B411,COMPOSICAO_AUX_4!$A:$J,10,FALSE),VLOOKUP(B411,I!$A:$D,4,FALSE))</f>
        <v>10.6</v>
      </c>
      <c r="J411" s="80">
        <f t="shared" ref="J411:J418" si="14">TRUNC(H411*I411,2)</f>
        <v>10.6</v>
      </c>
      <c r="K411" s="81"/>
    </row>
    <row r="412" spans="1:13" ht="15" customHeight="1" x14ac:dyDescent="0.25">
      <c r="A412" s="16" t="s">
        <v>306</v>
      </c>
      <c r="B412" s="20">
        <v>37370</v>
      </c>
      <c r="C412" s="77" t="str">
        <f>VLOOKUP(B412,IF(A412="COMPOSICAO",S!$A:$D,I!$A:$D),2,FALSE)</f>
        <v>ALIMENTACAO - HORISTA (COLETADO CAIXA)</v>
      </c>
      <c r="D412" s="77"/>
      <c r="E412" s="77"/>
      <c r="F412" s="77"/>
      <c r="G412" s="16" t="str">
        <f>VLOOKUP(B412,IF(A412="COMPOSICAO",S!$A:$D,I!$A:$D),3,FALSE)</f>
        <v>H</v>
      </c>
      <c r="H412" s="17">
        <v>1</v>
      </c>
      <c r="I412" s="17">
        <f>IF(A412="COMPOSICAO",VLOOKUP("TOTAL - "&amp;B412,COMPOSICAO_AUX_4!$A:$J,10,FALSE),VLOOKUP(B412,I!$A:$D,4,FALSE))</f>
        <v>1.86</v>
      </c>
      <c r="J412" s="80">
        <f t="shared" si="14"/>
        <v>1.86</v>
      </c>
      <c r="K412" s="81"/>
    </row>
    <row r="413" spans="1:13" ht="15" customHeight="1" x14ac:dyDescent="0.25">
      <c r="A413" s="16" t="s">
        <v>306</v>
      </c>
      <c r="B413" s="20">
        <v>37371</v>
      </c>
      <c r="C413" s="77" t="str">
        <f>VLOOKUP(B413,IF(A413="COMPOSICAO",S!$A:$D,I!$A:$D),2,FALSE)</f>
        <v>TRANSPORTE - HORISTA (COLETADO CAIXA)</v>
      </c>
      <c r="D413" s="77"/>
      <c r="E413" s="77"/>
      <c r="F413" s="77"/>
      <c r="G413" s="16" t="str">
        <f>VLOOKUP(B413,IF(A413="COMPOSICAO",S!$A:$D,I!$A:$D),3,FALSE)</f>
        <v>H</v>
      </c>
      <c r="H413" s="17">
        <v>1</v>
      </c>
      <c r="I413" s="17">
        <f>IF(A413="COMPOSICAO",VLOOKUP("TOTAL - "&amp;B413,COMPOSICAO_AUX_4!$A:$J,10,FALSE),VLOOKUP(B413,I!$A:$D,4,FALSE))</f>
        <v>0.7</v>
      </c>
      <c r="J413" s="80">
        <f t="shared" si="14"/>
        <v>0.7</v>
      </c>
      <c r="K413" s="81"/>
    </row>
    <row r="414" spans="1:13" ht="15" customHeight="1" x14ac:dyDescent="0.25">
      <c r="A414" s="16" t="s">
        <v>306</v>
      </c>
      <c r="B414" s="20">
        <v>37372</v>
      </c>
      <c r="C414" s="77" t="str">
        <f>VLOOKUP(B414,IF(A414="COMPOSICAO",S!$A:$D,I!$A:$D),2,FALSE)</f>
        <v>EXAMES - HORISTA (COLETADO CAIXA)</v>
      </c>
      <c r="D414" s="77"/>
      <c r="E414" s="77"/>
      <c r="F414" s="77"/>
      <c r="G414" s="16" t="str">
        <f>VLOOKUP(B414,IF(A414="COMPOSICAO",S!$A:$D,I!$A:$D),3,FALSE)</f>
        <v>H</v>
      </c>
      <c r="H414" s="17">
        <v>1</v>
      </c>
      <c r="I414" s="17">
        <f>IF(A414="COMPOSICAO",VLOOKUP("TOTAL - "&amp;B414,COMPOSICAO_AUX_4!$A:$J,10,FALSE),VLOOKUP(B414,I!$A:$D,4,FALSE))</f>
        <v>0.55000000000000004</v>
      </c>
      <c r="J414" s="80">
        <f t="shared" si="14"/>
        <v>0.55000000000000004</v>
      </c>
      <c r="K414" s="81"/>
    </row>
    <row r="415" spans="1:13" ht="15" customHeight="1" x14ac:dyDescent="0.25">
      <c r="A415" s="16" t="s">
        <v>306</v>
      </c>
      <c r="B415" s="20">
        <v>37373</v>
      </c>
      <c r="C415" s="77" t="str">
        <f>VLOOKUP(B415,IF(A415="COMPOSICAO",S!$A:$D,I!$A:$D),2,FALSE)</f>
        <v>SEGURO - HORISTA (COLETADO CAIXA)</v>
      </c>
      <c r="D415" s="77"/>
      <c r="E415" s="77"/>
      <c r="F415" s="77"/>
      <c r="G415" s="16" t="str">
        <f>VLOOKUP(B415,IF(A415="COMPOSICAO",S!$A:$D,I!$A:$D),3,FALSE)</f>
        <v>H</v>
      </c>
      <c r="H415" s="17">
        <v>1</v>
      </c>
      <c r="I415" s="17">
        <f>IF(A415="COMPOSICAO",VLOOKUP("TOTAL - "&amp;B415,COMPOSICAO_AUX_4!$A:$J,10,FALSE),VLOOKUP(B415,I!$A:$D,4,FALSE))</f>
        <v>0.06</v>
      </c>
      <c r="J415" s="80">
        <f t="shared" si="14"/>
        <v>0.06</v>
      </c>
      <c r="K415" s="81"/>
    </row>
    <row r="416" spans="1:13" ht="30" customHeight="1" x14ac:dyDescent="0.25">
      <c r="A416" s="16" t="s">
        <v>306</v>
      </c>
      <c r="B416" s="20">
        <v>43467</v>
      </c>
      <c r="C416" s="77" t="str">
        <f>VLOOKUP(B416,IF(A416="COMPOSICAO",S!$A:$D,I!$A:$D),2,FALSE)</f>
        <v>FERRAMENTAS - FAMILIA SERVENTE - HORISTA (ENCARGOS COMPLEMENTARES - COLETADO CAIXA)</v>
      </c>
      <c r="D416" s="77"/>
      <c r="E416" s="77"/>
      <c r="F416" s="77"/>
      <c r="G416" s="16" t="str">
        <f>VLOOKUP(B416,IF(A416="COMPOSICAO",S!$A:$D,I!$A:$D),3,FALSE)</f>
        <v>H</v>
      </c>
      <c r="H416" s="17">
        <v>1</v>
      </c>
      <c r="I416" s="17">
        <f>IF(A416="COMPOSICAO",VLOOKUP("TOTAL - "&amp;B416,COMPOSICAO_AUX_4!$A:$J,10,FALSE),VLOOKUP(B416,I!$A:$D,4,FALSE))</f>
        <v>0.41</v>
      </c>
      <c r="J416" s="80">
        <f t="shared" si="14"/>
        <v>0.41</v>
      </c>
      <c r="K416" s="81"/>
    </row>
    <row r="417" spans="1:13" ht="30" customHeight="1" x14ac:dyDescent="0.25">
      <c r="A417" s="16" t="s">
        <v>306</v>
      </c>
      <c r="B417" s="20">
        <v>43491</v>
      </c>
      <c r="C417" s="77" t="str">
        <f>VLOOKUP(B417,IF(A417="COMPOSICAO",S!$A:$D,I!$A:$D),2,FALSE)</f>
        <v>EPI - FAMILIA SERVENTE - HORISTA (ENCARGOS COMPLEMENTARES - COLETADO CAIXA)</v>
      </c>
      <c r="D417" s="77"/>
      <c r="E417" s="77"/>
      <c r="F417" s="77"/>
      <c r="G417" s="16" t="str">
        <f>VLOOKUP(B417,IF(A417="COMPOSICAO",S!$A:$D,I!$A:$D),3,FALSE)</f>
        <v>H</v>
      </c>
      <c r="H417" s="17">
        <v>1</v>
      </c>
      <c r="I417" s="17">
        <f>IF(A417="COMPOSICAO",VLOOKUP("TOTAL - "&amp;B417,COMPOSICAO_AUX_4!$A:$J,10,FALSE),VLOOKUP(B417,I!$A:$D,4,FALSE))</f>
        <v>1.01</v>
      </c>
      <c r="J417" s="80">
        <f t="shared" si="14"/>
        <v>1.01</v>
      </c>
      <c r="K417" s="81"/>
    </row>
    <row r="418" spans="1:13" ht="30" customHeight="1" x14ac:dyDescent="0.25">
      <c r="A418" s="16" t="s">
        <v>302</v>
      </c>
      <c r="B418" s="20">
        <v>95378</v>
      </c>
      <c r="C418" s="77" t="str">
        <f>VLOOKUP(B418,IF(A418="COMPOSICAO",S!$A:$D,I!$A:$D),2,FALSE)</f>
        <v>CURSO DE CAPACITAÇÃO PARA SERVENTE (ENCARGOS COMPLEMENTARES) - HORISTA</v>
      </c>
      <c r="D418" s="77"/>
      <c r="E418" s="77"/>
      <c r="F418" s="77"/>
      <c r="G418" s="16" t="str">
        <f>VLOOKUP(B418,IF(A418="COMPOSICAO",S!$A:$D,I!$A:$D),3,FALSE)</f>
        <v>H</v>
      </c>
      <c r="H418" s="17">
        <v>1</v>
      </c>
      <c r="I418" s="17">
        <f>IF(A418="COMPOSICAO",VLOOKUP("TOTAL - "&amp;B418,COMPOSICAO_AUX_4!$A:$J,10,FALSE),VLOOKUP(B418,I!$A:$D,4,FALSE))</f>
        <v>0.16</v>
      </c>
      <c r="J418" s="80">
        <f t="shared" si="14"/>
        <v>0.16</v>
      </c>
      <c r="K418" s="81"/>
    </row>
    <row r="419" spans="1:13" ht="15" customHeight="1" x14ac:dyDescent="0.25">
      <c r="A419" s="23" t="s">
        <v>508</v>
      </c>
      <c r="B419" s="24"/>
      <c r="C419" s="24"/>
      <c r="D419" s="24"/>
      <c r="E419" s="24"/>
      <c r="F419" s="24"/>
      <c r="G419" s="25"/>
      <c r="H419" s="26"/>
      <c r="I419" s="27"/>
      <c r="J419" s="80">
        <f>SUM(J410:K418)</f>
        <v>15.35</v>
      </c>
      <c r="K419" s="81"/>
    </row>
    <row r="420" spans="1:13" ht="15" customHeight="1" x14ac:dyDescent="0.25">
      <c r="A420" s="3"/>
      <c r="B420" s="3"/>
      <c r="C420" s="3"/>
      <c r="D420" s="3"/>
      <c r="E420" s="3"/>
      <c r="F420" s="3"/>
      <c r="G420" s="3"/>
      <c r="H420" s="3"/>
      <c r="I420" s="3"/>
      <c r="J420" s="3"/>
      <c r="K420" s="3"/>
    </row>
    <row r="421" spans="1:13" ht="15" customHeight="1" x14ac:dyDescent="0.25">
      <c r="A421" s="10" t="s">
        <v>295</v>
      </c>
      <c r="B421" s="10" t="s">
        <v>31</v>
      </c>
      <c r="C421" s="82" t="s">
        <v>7</v>
      </c>
      <c r="D421" s="83"/>
      <c r="E421" s="83"/>
      <c r="F421" s="83"/>
      <c r="G421" s="6" t="s">
        <v>32</v>
      </c>
      <c r="H421" s="6" t="s">
        <v>296</v>
      </c>
      <c r="I421" s="6" t="s">
        <v>297</v>
      </c>
      <c r="J421" s="57" t="s">
        <v>9</v>
      </c>
      <c r="K421" s="58"/>
    </row>
    <row r="422" spans="1:13" ht="60" customHeight="1" x14ac:dyDescent="0.25">
      <c r="A422" s="6" t="s">
        <v>572</v>
      </c>
      <c r="B422" s="28">
        <v>89221</v>
      </c>
      <c r="C422" s="91" t="str">
        <f>VLOOKUP(B422,S!$A:$D,2,FALSE)</f>
        <v>BETONEIRA CAPACIDADE NOMINAL DE 600 L, CAPACIDADE DE MISTURA 360 L, MOTOR ELÉTRICO TRIFÁSICO POTÊNCIA DE 4 CV, SEM CARREGADOR - DEPRECIAÇÃO. AF_11/2014</v>
      </c>
      <c r="D422" s="91"/>
      <c r="E422" s="91"/>
      <c r="F422" s="92"/>
      <c r="G422" s="6" t="str">
        <f>VLOOKUP(B422,S!$A:$D,3,FALSE)</f>
        <v>H</v>
      </c>
      <c r="H422" s="21"/>
      <c r="I422" s="21">
        <f>J424</f>
        <v>1.5</v>
      </c>
      <c r="J422" s="76"/>
      <c r="K422" s="72"/>
      <c r="L422" s="21">
        <f>VLOOKUP(B422,S!$A:$D,4,FALSE)</f>
        <v>1.5</v>
      </c>
      <c r="M422" s="6" t="str">
        <f>IF(ROUND((L422-I422),2)=0,"OK, confere com a tabela.",IF(ROUND((L422-I422),2)&lt;0,"ACIMA ("&amp;TEXT(ROUND(I422*100/L422,4),"0,0000")&amp;" %) da tabela.","ABAIXO ("&amp;TEXT(ROUND(I422*100/L422,4),"0,0000")&amp;" %) da tabela."))</f>
        <v>OK, confere com a tabela.</v>
      </c>
    </row>
    <row r="423" spans="1:13" ht="45" customHeight="1" x14ac:dyDescent="0.25">
      <c r="A423" s="16" t="s">
        <v>306</v>
      </c>
      <c r="B423" s="20">
        <v>36397</v>
      </c>
      <c r="C423" s="77" t="str">
        <f>VLOOKUP(B423,IF(A423="COMPOSICAO",S!$A:$D,I!$A:$D),2,FALSE)</f>
        <v>BETONEIRA, CAPACIDADE NOMINAL 600 L, CAPACIDADE DE MISTURA  360L, MOTOR ELETRICO TRIFASICO 220/380V, POTENCIA 4CV, EXCLUSO CARREGADOR</v>
      </c>
      <c r="D423" s="77"/>
      <c r="E423" s="77"/>
      <c r="F423" s="77"/>
      <c r="G423" s="16" t="str">
        <f>VLOOKUP(B423,IF(A423="COMPOSICAO",S!$A:$D,I!$A:$D),3,FALSE)</f>
        <v>UN</v>
      </c>
      <c r="H423" s="32">
        <v>6.3999999999999997E-5</v>
      </c>
      <c r="I423" s="17">
        <f>IF(A423="COMPOSICAO",VLOOKUP("TOTAL - "&amp;B423,COMPOSICAO_AUX_4!$A:$J,10,FALSE),VLOOKUP(B423,I!$A:$D,4,FALSE))</f>
        <v>23593.22</v>
      </c>
      <c r="J423" s="80">
        <f>TRUNC(H423*I423,2)</f>
        <v>1.5</v>
      </c>
      <c r="K423" s="81"/>
    </row>
    <row r="424" spans="1:13" ht="15" customHeight="1" x14ac:dyDescent="0.25">
      <c r="A424" s="23" t="s">
        <v>847</v>
      </c>
      <c r="B424" s="24"/>
      <c r="C424" s="24"/>
      <c r="D424" s="24"/>
      <c r="E424" s="24"/>
      <c r="F424" s="24"/>
      <c r="G424" s="25"/>
      <c r="H424" s="26"/>
      <c r="I424" s="27"/>
      <c r="J424" s="80">
        <f>SUM(J422:K423)</f>
        <v>1.5</v>
      </c>
      <c r="K424" s="81"/>
    </row>
    <row r="425" spans="1:13" ht="15" customHeight="1" x14ac:dyDescent="0.25">
      <c r="A425" s="3"/>
      <c r="B425" s="3"/>
      <c r="C425" s="3"/>
      <c r="D425" s="3"/>
      <c r="E425" s="3"/>
      <c r="F425" s="3"/>
      <c r="G425" s="3"/>
      <c r="H425" s="3"/>
      <c r="I425" s="3"/>
      <c r="J425" s="3"/>
      <c r="K425" s="3"/>
    </row>
    <row r="426" spans="1:13" ht="15" customHeight="1" x14ac:dyDescent="0.25">
      <c r="A426" s="10" t="s">
        <v>295</v>
      </c>
      <c r="B426" s="10" t="s">
        <v>31</v>
      </c>
      <c r="C426" s="82" t="s">
        <v>7</v>
      </c>
      <c r="D426" s="83"/>
      <c r="E426" s="83"/>
      <c r="F426" s="83"/>
      <c r="G426" s="6" t="s">
        <v>32</v>
      </c>
      <c r="H426" s="6" t="s">
        <v>296</v>
      </c>
      <c r="I426" s="6" t="s">
        <v>297</v>
      </c>
      <c r="J426" s="57" t="s">
        <v>9</v>
      </c>
      <c r="K426" s="58"/>
    </row>
    <row r="427" spans="1:13" ht="60" customHeight="1" x14ac:dyDescent="0.25">
      <c r="A427" s="6" t="s">
        <v>572</v>
      </c>
      <c r="B427" s="28">
        <v>89222</v>
      </c>
      <c r="C427" s="91" t="str">
        <f>VLOOKUP(B427,S!$A:$D,2,FALSE)</f>
        <v>BETONEIRA CAPACIDADE NOMINAL DE 600 L, CAPACIDADE DE MISTURA 360 L, MOTOR ELÉTRICO TRIFÁSICO POTÊNCIA DE 4 CV, SEM CARREGADOR - JUROS. AF_11/2014</v>
      </c>
      <c r="D427" s="91"/>
      <c r="E427" s="91"/>
      <c r="F427" s="92"/>
      <c r="G427" s="6" t="str">
        <f>VLOOKUP(B427,S!$A:$D,3,FALSE)</f>
        <v>H</v>
      </c>
      <c r="H427" s="21"/>
      <c r="I427" s="21">
        <f>J429</f>
        <v>0.17</v>
      </c>
      <c r="J427" s="76"/>
      <c r="K427" s="72"/>
      <c r="L427" s="21">
        <f>VLOOKUP(B427,S!$A:$D,4,FALSE)</f>
        <v>0.17</v>
      </c>
      <c r="M427" s="6" t="str">
        <f>IF(ROUND((L427-I427),2)=0,"OK, confere com a tabela.",IF(ROUND((L427-I427),2)&lt;0,"ACIMA ("&amp;TEXT(ROUND(I427*100/L427,4),"0,0000")&amp;" %) da tabela.","ABAIXO ("&amp;TEXT(ROUND(I427*100/L427,4),"0,0000")&amp;" %) da tabela."))</f>
        <v>OK, confere com a tabela.</v>
      </c>
    </row>
    <row r="428" spans="1:13" ht="45" customHeight="1" x14ac:dyDescent="0.25">
      <c r="A428" s="16" t="s">
        <v>306</v>
      </c>
      <c r="B428" s="20">
        <v>36397</v>
      </c>
      <c r="C428" s="77" t="str">
        <f>VLOOKUP(B428,IF(A428="COMPOSICAO",S!$A:$D,I!$A:$D),2,FALSE)</f>
        <v>BETONEIRA, CAPACIDADE NOMINAL 600 L, CAPACIDADE DE MISTURA  360L, MOTOR ELETRICO TRIFASICO 220/380V, POTENCIA 4CV, EXCLUSO CARREGADOR</v>
      </c>
      <c r="D428" s="77"/>
      <c r="E428" s="77"/>
      <c r="F428" s="77"/>
      <c r="G428" s="16" t="str">
        <f>VLOOKUP(B428,IF(A428="COMPOSICAO",S!$A:$D,I!$A:$D),3,FALSE)</f>
        <v>UN</v>
      </c>
      <c r="H428" s="31">
        <v>7.6000000000000001E-6</v>
      </c>
      <c r="I428" s="17">
        <f>IF(A428="COMPOSICAO",VLOOKUP("TOTAL - "&amp;B428,COMPOSICAO_AUX_4!$A:$J,10,FALSE),VLOOKUP(B428,I!$A:$D,4,FALSE))</f>
        <v>23593.22</v>
      </c>
      <c r="J428" s="80">
        <f>TRUNC(H428*I428,2)</f>
        <v>0.17</v>
      </c>
      <c r="K428" s="81"/>
    </row>
    <row r="429" spans="1:13" ht="15" customHeight="1" x14ac:dyDescent="0.25">
      <c r="A429" s="23" t="s">
        <v>848</v>
      </c>
      <c r="B429" s="24"/>
      <c r="C429" s="24"/>
      <c r="D429" s="24"/>
      <c r="E429" s="24"/>
      <c r="F429" s="24"/>
      <c r="G429" s="25"/>
      <c r="H429" s="26"/>
      <c r="I429" s="27"/>
      <c r="J429" s="80">
        <f>SUM(J427:K428)</f>
        <v>0.17</v>
      </c>
      <c r="K429" s="81"/>
    </row>
    <row r="430" spans="1:13" ht="15" customHeight="1" x14ac:dyDescent="0.25">
      <c r="A430" s="3"/>
      <c r="B430" s="3"/>
      <c r="C430" s="3"/>
      <c r="D430" s="3"/>
      <c r="E430" s="3"/>
      <c r="F430" s="3"/>
      <c r="G430" s="3"/>
      <c r="H430" s="3"/>
      <c r="I430" s="3"/>
      <c r="J430" s="3"/>
      <c r="K430" s="3"/>
    </row>
    <row r="431" spans="1:13" ht="15" customHeight="1" x14ac:dyDescent="0.25">
      <c r="A431" s="10" t="s">
        <v>295</v>
      </c>
      <c r="B431" s="10" t="s">
        <v>31</v>
      </c>
      <c r="C431" s="82" t="s">
        <v>7</v>
      </c>
      <c r="D431" s="83"/>
      <c r="E431" s="83"/>
      <c r="F431" s="83"/>
      <c r="G431" s="6" t="s">
        <v>32</v>
      </c>
      <c r="H431" s="6" t="s">
        <v>296</v>
      </c>
      <c r="I431" s="6" t="s">
        <v>297</v>
      </c>
      <c r="J431" s="57" t="s">
        <v>9</v>
      </c>
      <c r="K431" s="58"/>
    </row>
    <row r="432" spans="1:13" ht="60" customHeight="1" x14ac:dyDescent="0.25">
      <c r="A432" s="6" t="s">
        <v>572</v>
      </c>
      <c r="B432" s="28">
        <v>89223</v>
      </c>
      <c r="C432" s="91" t="str">
        <f>VLOOKUP(B432,S!$A:$D,2,FALSE)</f>
        <v>BETONEIRA CAPACIDADE NOMINAL DE 600 L, CAPACIDADE DE MISTURA 360 L, MOTOR ELÉTRICO TRIFÁSICO POTÊNCIA DE 4 CV, SEM CARREGADOR - MANUTENÇÃO. AF_11/2014</v>
      </c>
      <c r="D432" s="91"/>
      <c r="E432" s="91"/>
      <c r="F432" s="92"/>
      <c r="G432" s="6" t="str">
        <f>VLOOKUP(B432,S!$A:$D,3,FALSE)</f>
        <v>H</v>
      </c>
      <c r="H432" s="21"/>
      <c r="I432" s="21">
        <f>J434</f>
        <v>1.41</v>
      </c>
      <c r="J432" s="76"/>
      <c r="K432" s="72"/>
      <c r="L432" s="21">
        <f>VLOOKUP(B432,S!$A:$D,4,FALSE)</f>
        <v>1.41</v>
      </c>
      <c r="M432" s="6" t="str">
        <f>IF(ROUND((L432-I432),2)=0,"OK, confere com a tabela.",IF(ROUND((L432-I432),2)&lt;0,"ACIMA ("&amp;TEXT(ROUND(I432*100/L432,4),"0,0000")&amp;" %) da tabela.","ABAIXO ("&amp;TEXT(ROUND(I432*100/L432,4),"0,0000")&amp;" %) da tabela."))</f>
        <v>OK, confere com a tabela.</v>
      </c>
    </row>
    <row r="433" spans="1:13" ht="45" customHeight="1" x14ac:dyDescent="0.25">
      <c r="A433" s="16" t="s">
        <v>306</v>
      </c>
      <c r="B433" s="20">
        <v>36397</v>
      </c>
      <c r="C433" s="77" t="str">
        <f>VLOOKUP(B433,IF(A433="COMPOSICAO",S!$A:$D,I!$A:$D),2,FALSE)</f>
        <v>BETONEIRA, CAPACIDADE NOMINAL 600 L, CAPACIDADE DE MISTURA  360L, MOTOR ELETRICO TRIFASICO 220/380V, POTENCIA 4CV, EXCLUSO CARREGADOR</v>
      </c>
      <c r="D433" s="77"/>
      <c r="E433" s="77"/>
      <c r="F433" s="77"/>
      <c r="G433" s="16" t="str">
        <f>VLOOKUP(B433,IF(A433="COMPOSICAO",S!$A:$D,I!$A:$D),3,FALSE)</f>
        <v>UN</v>
      </c>
      <c r="H433" s="33">
        <v>6.0000000000000002E-5</v>
      </c>
      <c r="I433" s="17">
        <f>IF(A433="COMPOSICAO",VLOOKUP("TOTAL - "&amp;B433,COMPOSICAO_AUX_4!$A:$J,10,FALSE),VLOOKUP(B433,I!$A:$D,4,FALSE))</f>
        <v>23593.22</v>
      </c>
      <c r="J433" s="80">
        <f>TRUNC(H433*I433,2)</f>
        <v>1.41</v>
      </c>
      <c r="K433" s="81"/>
    </row>
    <row r="434" spans="1:13" ht="15" customHeight="1" x14ac:dyDescent="0.25">
      <c r="A434" s="23" t="s">
        <v>849</v>
      </c>
      <c r="B434" s="24"/>
      <c r="C434" s="24"/>
      <c r="D434" s="24"/>
      <c r="E434" s="24"/>
      <c r="F434" s="24"/>
      <c r="G434" s="25"/>
      <c r="H434" s="26"/>
      <c r="I434" s="27"/>
      <c r="J434" s="80">
        <f>SUM(J432:K433)</f>
        <v>1.41</v>
      </c>
      <c r="K434" s="81"/>
    </row>
    <row r="435" spans="1:13" ht="15" customHeight="1" x14ac:dyDescent="0.25">
      <c r="A435" s="3"/>
      <c r="B435" s="3"/>
      <c r="C435" s="3"/>
      <c r="D435" s="3"/>
      <c r="E435" s="3"/>
      <c r="F435" s="3"/>
      <c r="G435" s="3"/>
      <c r="H435" s="3"/>
      <c r="I435" s="3"/>
      <c r="J435" s="3"/>
      <c r="K435" s="3"/>
    </row>
    <row r="436" spans="1:13" ht="15" customHeight="1" x14ac:dyDescent="0.25">
      <c r="A436" s="10" t="s">
        <v>295</v>
      </c>
      <c r="B436" s="10" t="s">
        <v>31</v>
      </c>
      <c r="C436" s="82" t="s">
        <v>7</v>
      </c>
      <c r="D436" s="83"/>
      <c r="E436" s="83"/>
      <c r="F436" s="83"/>
      <c r="G436" s="6" t="s">
        <v>32</v>
      </c>
      <c r="H436" s="6" t="s">
        <v>296</v>
      </c>
      <c r="I436" s="6" t="s">
        <v>297</v>
      </c>
      <c r="J436" s="57" t="s">
        <v>9</v>
      </c>
      <c r="K436" s="58"/>
    </row>
    <row r="437" spans="1:13" ht="60" customHeight="1" x14ac:dyDescent="0.25">
      <c r="A437" s="6" t="s">
        <v>572</v>
      </c>
      <c r="B437" s="28">
        <v>89224</v>
      </c>
      <c r="C437" s="91" t="str">
        <f>VLOOKUP(B437,S!$A:$D,2,FALSE)</f>
        <v>BETONEIRA CAPACIDADE NOMINAL DE 600 L, CAPACIDADE DE MISTURA 360 L, MOTOR ELÉTRICO TRIFÁSICO POTÊNCIA DE 4 CV, SEM CARREGADOR - MATERIAIS NA OPERAÇÃO. AF_11/2014</v>
      </c>
      <c r="D437" s="91"/>
      <c r="E437" s="91"/>
      <c r="F437" s="92"/>
      <c r="G437" s="6" t="str">
        <f>VLOOKUP(B437,S!$A:$D,3,FALSE)</f>
        <v>H</v>
      </c>
      <c r="H437" s="21"/>
      <c r="I437" s="21">
        <f>J439</f>
        <v>1.9</v>
      </c>
      <c r="J437" s="76"/>
      <c r="K437" s="72"/>
      <c r="L437" s="21">
        <f>VLOOKUP(B437,S!$A:$D,4,FALSE)</f>
        <v>1.9</v>
      </c>
      <c r="M437" s="6" t="str">
        <f>IF(ROUND((L437-I437),2)=0,"OK, confere com a tabela.",IF(ROUND((L437-I437),2)&lt;0,"ACIMA ("&amp;TEXT(ROUND(I437*100/L437,4),"0,0000")&amp;" %) da tabela.","ABAIXO ("&amp;TEXT(ROUND(I437*100/L437,4),"0,0000")&amp;" %) da tabela."))</f>
        <v>OK, confere com a tabela.</v>
      </c>
    </row>
    <row r="438" spans="1:13" ht="30" customHeight="1" x14ac:dyDescent="0.25">
      <c r="A438" s="16" t="s">
        <v>306</v>
      </c>
      <c r="B438" s="20">
        <v>2705</v>
      </c>
      <c r="C438" s="77" t="str">
        <f>VLOOKUP(B438,IF(A438="COMPOSICAO",S!$A:$D,I!$A:$D),2,FALSE)</f>
        <v>ENERGIA ELETRICA ATE 2000 KWH INDUSTRIAL, SEM DEMANDA</v>
      </c>
      <c r="D438" s="77"/>
      <c r="E438" s="77"/>
      <c r="F438" s="77"/>
      <c r="G438" s="16" t="str">
        <f>VLOOKUP(B438,IF(A438="COMPOSICAO",S!$A:$D,I!$A:$D),3,FALSE)</f>
        <v>KW/H</v>
      </c>
      <c r="H438" s="17">
        <v>2.5</v>
      </c>
      <c r="I438" s="17">
        <f>IF(A438="COMPOSICAO",VLOOKUP("TOTAL - "&amp;B438,COMPOSICAO_AUX_4!$A:$J,10,FALSE),VLOOKUP(B438,I!$A:$D,4,FALSE))</f>
        <v>0.76</v>
      </c>
      <c r="J438" s="80">
        <f>TRUNC(H438*I438,2)</f>
        <v>1.9</v>
      </c>
      <c r="K438" s="81"/>
    </row>
    <row r="439" spans="1:13" ht="15" customHeight="1" x14ac:dyDescent="0.25">
      <c r="A439" s="23" t="s">
        <v>850</v>
      </c>
      <c r="B439" s="24"/>
      <c r="C439" s="24"/>
      <c r="D439" s="24"/>
      <c r="E439" s="24"/>
      <c r="F439" s="24"/>
      <c r="G439" s="25"/>
      <c r="H439" s="26"/>
      <c r="I439" s="27"/>
      <c r="J439" s="80">
        <f>SUM(J437:K438)</f>
        <v>1.9</v>
      </c>
      <c r="K439" s="81"/>
    </row>
    <row r="440" spans="1:13" ht="15" customHeight="1" x14ac:dyDescent="0.25">
      <c r="A440" s="3"/>
      <c r="B440" s="3"/>
      <c r="C440" s="3"/>
      <c r="D440" s="3"/>
      <c r="E440" s="3"/>
      <c r="F440" s="3"/>
      <c r="G440" s="3"/>
      <c r="H440" s="3"/>
      <c r="I440" s="3"/>
      <c r="J440" s="3"/>
      <c r="K440" s="3"/>
    </row>
    <row r="441" spans="1:13" ht="15" customHeight="1" x14ac:dyDescent="0.25">
      <c r="A441" s="10" t="s">
        <v>295</v>
      </c>
      <c r="B441" s="10" t="s">
        <v>31</v>
      </c>
      <c r="C441" s="82" t="s">
        <v>7</v>
      </c>
      <c r="D441" s="83"/>
      <c r="E441" s="83"/>
      <c r="F441" s="83"/>
      <c r="G441" s="6" t="s">
        <v>32</v>
      </c>
      <c r="H441" s="6" t="s">
        <v>296</v>
      </c>
      <c r="I441" s="6" t="s">
        <v>297</v>
      </c>
      <c r="J441" s="57" t="s">
        <v>9</v>
      </c>
      <c r="K441" s="58"/>
    </row>
    <row r="442" spans="1:13" ht="30" customHeight="1" x14ac:dyDescent="0.25">
      <c r="A442" s="6" t="s">
        <v>502</v>
      </c>
      <c r="B442" s="28">
        <v>95332</v>
      </c>
      <c r="C442" s="91" t="str">
        <f>VLOOKUP(B442,S!$A:$D,2,FALSE)</f>
        <v>CURSO DE CAPACITAÇÃO PARA ELETRICISTA (ENCARGOS COMPLEMENTARES) - HORISTA</v>
      </c>
      <c r="D442" s="91"/>
      <c r="E442" s="91"/>
      <c r="F442" s="92"/>
      <c r="G442" s="6" t="str">
        <f>VLOOKUP(B442,S!$A:$D,3,FALSE)</f>
        <v>H</v>
      </c>
      <c r="H442" s="21"/>
      <c r="I442" s="21">
        <f>J444</f>
        <v>0.39</v>
      </c>
      <c r="J442" s="76"/>
      <c r="K442" s="72"/>
      <c r="L442" s="21">
        <f>VLOOKUP(B442,S!$A:$D,4,FALSE)</f>
        <v>0.39</v>
      </c>
      <c r="M442" s="6" t="str">
        <f>IF(ROUND((L442-I442),2)=0,"OK, confere com a tabela.",IF(ROUND((L442-I442),2)&lt;0,"ACIMA ("&amp;TEXT(ROUND(I442*100/L442,4),"0,0000")&amp;" %) da tabela.","ABAIXO ("&amp;TEXT(ROUND(I442*100/L442,4),"0,0000")&amp;" %) da tabela."))</f>
        <v>OK, confere com a tabela.</v>
      </c>
    </row>
    <row r="443" spans="1:13" ht="15" customHeight="1" x14ac:dyDescent="0.25">
      <c r="A443" s="16" t="s">
        <v>306</v>
      </c>
      <c r="B443" s="20">
        <v>2436</v>
      </c>
      <c r="C443" s="77" t="str">
        <f>VLOOKUP(B443,IF(A443="COMPOSICAO",S!$A:$D,I!$A:$D),2,FALSE)</f>
        <v>ELETRICISTA</v>
      </c>
      <c r="D443" s="77"/>
      <c r="E443" s="77"/>
      <c r="F443" s="77"/>
      <c r="G443" s="16" t="str">
        <f>VLOOKUP(B443,IF(A443="COMPOSICAO",S!$A:$D,I!$A:$D),3,FALSE)</f>
        <v>H</v>
      </c>
      <c r="H443" s="29">
        <v>2.6599999999999999E-2</v>
      </c>
      <c r="I443" s="17">
        <f>IF(A443="COMPOSICAO",VLOOKUP("TOTAL - "&amp;B443,COMPOSICAO_AUX_4!$A:$J,10,FALSE),VLOOKUP(B443,I!$A:$D,4,FALSE))</f>
        <v>14.93</v>
      </c>
      <c r="J443" s="80">
        <f>TRUNC(H443*I443,2)</f>
        <v>0.39</v>
      </c>
      <c r="K443" s="81"/>
    </row>
    <row r="444" spans="1:13" ht="15" customHeight="1" x14ac:dyDescent="0.25">
      <c r="A444" s="23" t="s">
        <v>817</v>
      </c>
      <c r="B444" s="24"/>
      <c r="C444" s="24"/>
      <c r="D444" s="24"/>
      <c r="E444" s="24"/>
      <c r="F444" s="24"/>
      <c r="G444" s="25"/>
      <c r="H444" s="26"/>
      <c r="I444" s="27"/>
      <c r="J444" s="80">
        <f>SUM(J442:K443)</f>
        <v>0.39</v>
      </c>
      <c r="K444" s="81"/>
    </row>
    <row r="445" spans="1:13" ht="15" customHeight="1" x14ac:dyDescent="0.25">
      <c r="A445" s="3"/>
      <c r="B445" s="3"/>
      <c r="C445" s="3"/>
      <c r="D445" s="3"/>
      <c r="E445" s="3"/>
      <c r="F445" s="3"/>
      <c r="G445" s="3"/>
      <c r="H445" s="3"/>
      <c r="I445" s="3"/>
      <c r="J445" s="3"/>
      <c r="K445" s="3"/>
    </row>
    <row r="446" spans="1:13" ht="15" customHeight="1" x14ac:dyDescent="0.25">
      <c r="A446" s="10" t="s">
        <v>295</v>
      </c>
      <c r="B446" s="10" t="s">
        <v>31</v>
      </c>
      <c r="C446" s="82" t="s">
        <v>7</v>
      </c>
      <c r="D446" s="83"/>
      <c r="E446" s="83"/>
      <c r="F446" s="83"/>
      <c r="G446" s="6" t="s">
        <v>32</v>
      </c>
      <c r="H446" s="6" t="s">
        <v>296</v>
      </c>
      <c r="I446" s="6" t="s">
        <v>297</v>
      </c>
      <c r="J446" s="57" t="s">
        <v>9</v>
      </c>
      <c r="K446" s="58"/>
    </row>
    <row r="447" spans="1:13" ht="30" customHeight="1" x14ac:dyDescent="0.25">
      <c r="A447" s="6" t="s">
        <v>502</v>
      </c>
      <c r="B447" s="28">
        <v>95316</v>
      </c>
      <c r="C447" s="91" t="str">
        <f>VLOOKUP(B447,S!$A:$D,2,FALSE)</f>
        <v>CURSO DE CAPACITAÇÃO PARA AUXILIAR DE ELETRICISTA (ENCARGOS COMPLEMENTARES) - HORISTA</v>
      </c>
      <c r="D447" s="91"/>
      <c r="E447" s="91"/>
      <c r="F447" s="92"/>
      <c r="G447" s="6" t="str">
        <f>VLOOKUP(B447,S!$A:$D,3,FALSE)</f>
        <v>H</v>
      </c>
      <c r="H447" s="21"/>
      <c r="I447" s="21">
        <f>J449</f>
        <v>0.27</v>
      </c>
      <c r="J447" s="76"/>
      <c r="K447" s="72"/>
      <c r="L447" s="21">
        <f>VLOOKUP(B447,S!$A:$D,4,FALSE)</f>
        <v>0.27</v>
      </c>
      <c r="M447" s="6" t="str">
        <f>IF(ROUND((L447-I447),2)=0,"OK, confere com a tabela.",IF(ROUND((L447-I447),2)&lt;0,"ACIMA ("&amp;TEXT(ROUND(I447*100/L447,4),"0,0000")&amp;" %) da tabela.","ABAIXO ("&amp;TEXT(ROUND(I447*100/L447,4),"0,0000")&amp;" %) da tabela."))</f>
        <v>OK, confere com a tabela.</v>
      </c>
    </row>
    <row r="448" spans="1:13" ht="15" customHeight="1" x14ac:dyDescent="0.25">
      <c r="A448" s="16" t="s">
        <v>306</v>
      </c>
      <c r="B448" s="20">
        <v>247</v>
      </c>
      <c r="C448" s="77" t="str">
        <f>VLOOKUP(B448,IF(A448="COMPOSICAO",S!$A:$D,I!$A:$D),2,FALSE)</f>
        <v>AJUDANTE DE ELETRICISTA</v>
      </c>
      <c r="D448" s="77"/>
      <c r="E448" s="77"/>
      <c r="F448" s="77"/>
      <c r="G448" s="16" t="str">
        <f>VLOOKUP(B448,IF(A448="COMPOSICAO",S!$A:$D,I!$A:$D),3,FALSE)</f>
        <v>H</v>
      </c>
      <c r="H448" s="29">
        <v>2.6599999999999999E-2</v>
      </c>
      <c r="I448" s="17">
        <f>IF(A448="COMPOSICAO",VLOOKUP("TOTAL - "&amp;B448,COMPOSICAO_AUX_4!$A:$J,10,FALSE),VLOOKUP(B448,I!$A:$D,4,FALSE))</f>
        <v>10.5</v>
      </c>
      <c r="J448" s="80">
        <f>TRUNC(H448*I448,2)</f>
        <v>0.27</v>
      </c>
      <c r="K448" s="81"/>
    </row>
    <row r="449" spans="1:13" ht="15" customHeight="1" x14ac:dyDescent="0.25">
      <c r="A449" s="23" t="s">
        <v>816</v>
      </c>
      <c r="B449" s="24"/>
      <c r="C449" s="24"/>
      <c r="D449" s="24"/>
      <c r="E449" s="24"/>
      <c r="F449" s="24"/>
      <c r="G449" s="25"/>
      <c r="H449" s="26"/>
      <c r="I449" s="27"/>
      <c r="J449" s="80">
        <f>SUM(J447:K448)</f>
        <v>0.27</v>
      </c>
      <c r="K449" s="81"/>
    </row>
    <row r="450" spans="1:13" ht="15" customHeight="1" x14ac:dyDescent="0.25">
      <c r="A450" s="3"/>
      <c r="B450" s="3"/>
      <c r="C450" s="3"/>
      <c r="D450" s="3"/>
      <c r="E450" s="3"/>
      <c r="F450" s="3"/>
      <c r="G450" s="3"/>
      <c r="H450" s="3"/>
      <c r="I450" s="3"/>
      <c r="J450" s="3"/>
      <c r="K450" s="3"/>
    </row>
    <row r="451" spans="1:13" ht="15" customHeight="1" x14ac:dyDescent="0.25">
      <c r="A451" s="10" t="s">
        <v>295</v>
      </c>
      <c r="B451" s="10" t="s">
        <v>31</v>
      </c>
      <c r="C451" s="82" t="s">
        <v>7</v>
      </c>
      <c r="D451" s="83"/>
      <c r="E451" s="83"/>
      <c r="F451" s="83"/>
      <c r="G451" s="6" t="s">
        <v>32</v>
      </c>
      <c r="H451" s="6" t="s">
        <v>296</v>
      </c>
      <c r="I451" s="6" t="s">
        <v>297</v>
      </c>
      <c r="J451" s="57" t="s">
        <v>9</v>
      </c>
      <c r="K451" s="58"/>
    </row>
    <row r="452" spans="1:13" ht="30" customHeight="1" x14ac:dyDescent="0.25">
      <c r="A452" s="6" t="s">
        <v>502</v>
      </c>
      <c r="B452" s="28">
        <v>88377</v>
      </c>
      <c r="C452" s="91" t="str">
        <f>VLOOKUP(B452,S!$A:$D,2,FALSE)</f>
        <v>OPERADOR DE BETONEIRA ESTACIONÁRIA/MISTURADOR COM ENCARGOS COMPLEMENTARES</v>
      </c>
      <c r="D452" s="91"/>
      <c r="E452" s="91"/>
      <c r="F452" s="92"/>
      <c r="G452" s="6" t="str">
        <f>VLOOKUP(B452,S!$A:$D,3,FALSE)</f>
        <v>H</v>
      </c>
      <c r="H452" s="21"/>
      <c r="I452" s="21">
        <f>J461</f>
        <v>19.810000000000002</v>
      </c>
      <c r="J452" s="76"/>
      <c r="K452" s="72"/>
      <c r="L452" s="21">
        <f>VLOOKUP(B452,S!$A:$D,4,FALSE)</f>
        <v>19.809999999999999</v>
      </c>
      <c r="M452" s="6" t="str">
        <f>IF(ROUND((L452-I452),2)=0,"OK, confere com a tabela.",IF(ROUND((L452-I452),2)&lt;0,"ACIMA ("&amp;TEXT(ROUND(I452*100/L452,4),"0,0000")&amp;" %) da tabela.","ABAIXO ("&amp;TEXT(ROUND(I452*100/L452,4),"0,0000")&amp;" %) da tabela."))</f>
        <v>OK, confere com a tabela.</v>
      </c>
    </row>
    <row r="453" spans="1:13" ht="15" customHeight="1" x14ac:dyDescent="0.25">
      <c r="A453" s="16" t="s">
        <v>306</v>
      </c>
      <c r="B453" s="20">
        <v>37370</v>
      </c>
      <c r="C453" s="77" t="str">
        <f>VLOOKUP(B453,IF(A453="COMPOSICAO",S!$A:$D,I!$A:$D),2,FALSE)</f>
        <v>ALIMENTACAO - HORISTA (COLETADO CAIXA)</v>
      </c>
      <c r="D453" s="77"/>
      <c r="E453" s="77"/>
      <c r="F453" s="77"/>
      <c r="G453" s="16" t="str">
        <f>VLOOKUP(B453,IF(A453="COMPOSICAO",S!$A:$D,I!$A:$D),3,FALSE)</f>
        <v>H</v>
      </c>
      <c r="H453" s="17">
        <v>1</v>
      </c>
      <c r="I453" s="17">
        <f>IF(A453="COMPOSICAO",VLOOKUP("TOTAL - "&amp;B453,COMPOSICAO_AUX_4!$A:$J,10,FALSE),VLOOKUP(B453,I!$A:$D,4,FALSE))</f>
        <v>1.86</v>
      </c>
      <c r="J453" s="80">
        <f t="shared" ref="J453:J460" si="15">TRUNC(H453*I453,2)</f>
        <v>1.86</v>
      </c>
      <c r="K453" s="81"/>
    </row>
    <row r="454" spans="1:13" ht="15" customHeight="1" x14ac:dyDescent="0.25">
      <c r="A454" s="16" t="s">
        <v>306</v>
      </c>
      <c r="B454" s="20">
        <v>37371</v>
      </c>
      <c r="C454" s="77" t="str">
        <f>VLOOKUP(B454,IF(A454="COMPOSICAO",S!$A:$D,I!$A:$D),2,FALSE)</f>
        <v>TRANSPORTE - HORISTA (COLETADO CAIXA)</v>
      </c>
      <c r="D454" s="77"/>
      <c r="E454" s="77"/>
      <c r="F454" s="77"/>
      <c r="G454" s="16" t="str">
        <f>VLOOKUP(B454,IF(A454="COMPOSICAO",S!$A:$D,I!$A:$D),3,FALSE)</f>
        <v>H</v>
      </c>
      <c r="H454" s="17">
        <v>1</v>
      </c>
      <c r="I454" s="17">
        <f>IF(A454="COMPOSICAO",VLOOKUP("TOTAL - "&amp;B454,COMPOSICAO_AUX_4!$A:$J,10,FALSE),VLOOKUP(B454,I!$A:$D,4,FALSE))</f>
        <v>0.7</v>
      </c>
      <c r="J454" s="80">
        <f t="shared" si="15"/>
        <v>0.7</v>
      </c>
      <c r="K454" s="81"/>
    </row>
    <row r="455" spans="1:13" ht="15" customHeight="1" x14ac:dyDescent="0.25">
      <c r="A455" s="16" t="s">
        <v>306</v>
      </c>
      <c r="B455" s="20">
        <v>37372</v>
      </c>
      <c r="C455" s="77" t="str">
        <f>VLOOKUP(B455,IF(A455="COMPOSICAO",S!$A:$D,I!$A:$D),2,FALSE)</f>
        <v>EXAMES - HORISTA (COLETADO CAIXA)</v>
      </c>
      <c r="D455" s="77"/>
      <c r="E455" s="77"/>
      <c r="F455" s="77"/>
      <c r="G455" s="16" t="str">
        <f>VLOOKUP(B455,IF(A455="COMPOSICAO",S!$A:$D,I!$A:$D),3,FALSE)</f>
        <v>H</v>
      </c>
      <c r="H455" s="17">
        <v>1</v>
      </c>
      <c r="I455" s="17">
        <f>IF(A455="COMPOSICAO",VLOOKUP("TOTAL - "&amp;B455,COMPOSICAO_AUX_4!$A:$J,10,FALSE),VLOOKUP(B455,I!$A:$D,4,FALSE))</f>
        <v>0.55000000000000004</v>
      </c>
      <c r="J455" s="80">
        <f t="shared" si="15"/>
        <v>0.55000000000000004</v>
      </c>
      <c r="K455" s="81"/>
    </row>
    <row r="456" spans="1:13" ht="15" customHeight="1" x14ac:dyDescent="0.25">
      <c r="A456" s="16" t="s">
        <v>306</v>
      </c>
      <c r="B456" s="20">
        <v>37373</v>
      </c>
      <c r="C456" s="77" t="str">
        <f>VLOOKUP(B456,IF(A456="COMPOSICAO",S!$A:$D,I!$A:$D),2,FALSE)</f>
        <v>SEGURO - HORISTA (COLETADO CAIXA)</v>
      </c>
      <c r="D456" s="77"/>
      <c r="E456" s="77"/>
      <c r="F456" s="77"/>
      <c r="G456" s="16" t="str">
        <f>VLOOKUP(B456,IF(A456="COMPOSICAO",S!$A:$D,I!$A:$D),3,FALSE)</f>
        <v>H</v>
      </c>
      <c r="H456" s="17">
        <v>1</v>
      </c>
      <c r="I456" s="17">
        <f>IF(A456="COMPOSICAO",VLOOKUP("TOTAL - "&amp;B456,COMPOSICAO_AUX_4!$A:$J,10,FALSE),VLOOKUP(B456,I!$A:$D,4,FALSE))</f>
        <v>0.06</v>
      </c>
      <c r="J456" s="80">
        <f t="shared" si="15"/>
        <v>0.06</v>
      </c>
      <c r="K456" s="81"/>
    </row>
    <row r="457" spans="1:13" ht="30" customHeight="1" x14ac:dyDescent="0.25">
      <c r="A457" s="16" t="s">
        <v>306</v>
      </c>
      <c r="B457" s="20">
        <v>37666</v>
      </c>
      <c r="C457" s="77" t="str">
        <f>VLOOKUP(B457,IF(A457="COMPOSICAO",S!$A:$D,I!$A:$D),2,FALSE)</f>
        <v>OPERADOR DE BETONEIRA ESTACIONARIA / MISTURADOR</v>
      </c>
      <c r="D457" s="77"/>
      <c r="E457" s="77"/>
      <c r="F457" s="77"/>
      <c r="G457" s="16" t="str">
        <f>VLOOKUP(B457,IF(A457="COMPOSICAO",S!$A:$D,I!$A:$D),3,FALSE)</f>
        <v>H</v>
      </c>
      <c r="H457" s="17">
        <v>1</v>
      </c>
      <c r="I457" s="17">
        <f>IF(A457="COMPOSICAO",VLOOKUP("TOTAL - "&amp;B457,COMPOSICAO_AUX_4!$A:$J,10,FALSE),VLOOKUP(B457,I!$A:$D,4,FALSE))</f>
        <v>15.91</v>
      </c>
      <c r="J457" s="80">
        <f t="shared" si="15"/>
        <v>15.91</v>
      </c>
      <c r="K457" s="81"/>
    </row>
    <row r="458" spans="1:13" ht="45" customHeight="1" x14ac:dyDescent="0.25">
      <c r="A458" s="16" t="s">
        <v>306</v>
      </c>
      <c r="B458" s="20">
        <v>43464</v>
      </c>
      <c r="C458" s="77" t="str">
        <f>VLOOKUP(B458,IF(A458="COMPOSICAO",S!$A:$D,I!$A:$D),2,FALSE)</f>
        <v>FERRAMENTAS - FAMILIA OPERADOR ESCAVADEIRA - HORISTA (ENCARGOS COMPLEMENTARES - COLETADO CAIXA)</v>
      </c>
      <c r="D458" s="77"/>
      <c r="E458" s="77"/>
      <c r="F458" s="77"/>
      <c r="G458" s="16" t="str">
        <f>VLOOKUP(B458,IF(A458="COMPOSICAO",S!$A:$D,I!$A:$D),3,FALSE)</f>
        <v>H</v>
      </c>
      <c r="H458" s="17">
        <v>1</v>
      </c>
      <c r="I458" s="17">
        <f>IF(A458="COMPOSICAO",VLOOKUP("TOTAL - "&amp;B458,COMPOSICAO_AUX_4!$A:$J,10,FALSE),VLOOKUP(B458,I!$A:$D,4,FALSE))</f>
        <v>0.01</v>
      </c>
      <c r="J458" s="80">
        <f t="shared" si="15"/>
        <v>0.01</v>
      </c>
      <c r="K458" s="81"/>
    </row>
    <row r="459" spans="1:13" ht="30" customHeight="1" x14ac:dyDescent="0.25">
      <c r="A459" s="16" t="s">
        <v>306</v>
      </c>
      <c r="B459" s="20">
        <v>43488</v>
      </c>
      <c r="C459" s="77" t="str">
        <f>VLOOKUP(B459,IF(A459="COMPOSICAO",S!$A:$D,I!$A:$D),2,FALSE)</f>
        <v>EPI - FAMILIA OPERADOR ESCAVADEIRA - HORISTA (ENCARGOS COMPLEMENTARES - COLETADO CAIXA)</v>
      </c>
      <c r="D459" s="77"/>
      <c r="E459" s="77"/>
      <c r="F459" s="77"/>
      <c r="G459" s="16" t="str">
        <f>VLOOKUP(B459,IF(A459="COMPOSICAO",S!$A:$D,I!$A:$D),3,FALSE)</f>
        <v>H</v>
      </c>
      <c r="H459" s="17">
        <v>1</v>
      </c>
      <c r="I459" s="17">
        <f>IF(A459="COMPOSICAO",VLOOKUP("TOTAL - "&amp;B459,COMPOSICAO_AUX_4!$A:$J,10,FALSE),VLOOKUP(B459,I!$A:$D,4,FALSE))</f>
        <v>0.63</v>
      </c>
      <c r="J459" s="80">
        <f t="shared" si="15"/>
        <v>0.63</v>
      </c>
      <c r="K459" s="81"/>
    </row>
    <row r="460" spans="1:13" ht="45" customHeight="1" x14ac:dyDescent="0.25">
      <c r="A460" s="16" t="s">
        <v>302</v>
      </c>
      <c r="B460" s="20">
        <v>95389</v>
      </c>
      <c r="C460" s="77" t="str">
        <f>VLOOKUP(B460,IF(A460="COMPOSICAO",S!$A:$D,I!$A:$D),2,FALSE)</f>
        <v>CURSO DE CAPACITAÇÃO PARA OPERADOR DE BETONEIRA ESTACIONÁRIA/MISTURADOR (ENCARGOS COMPLEMENTARES) - HORISTA</v>
      </c>
      <c r="D460" s="77"/>
      <c r="E460" s="77"/>
      <c r="F460" s="77"/>
      <c r="G460" s="16" t="str">
        <f>VLOOKUP(B460,IF(A460="COMPOSICAO",S!$A:$D,I!$A:$D),3,FALSE)</f>
        <v>H</v>
      </c>
      <c r="H460" s="17">
        <v>1</v>
      </c>
      <c r="I460" s="17">
        <f>IF(A460="COMPOSICAO",VLOOKUP("TOTAL - "&amp;B460,COMPOSICAO_AUX_4!$A:$J,10,FALSE),VLOOKUP(B460,I!$A:$D,4,FALSE))</f>
        <v>0.09</v>
      </c>
      <c r="J460" s="80">
        <f t="shared" si="15"/>
        <v>0.09</v>
      </c>
      <c r="K460" s="81"/>
    </row>
    <row r="461" spans="1:13" ht="15" customHeight="1" x14ac:dyDescent="0.25">
      <c r="A461" s="23" t="s">
        <v>735</v>
      </c>
      <c r="B461" s="24"/>
      <c r="C461" s="24"/>
      <c r="D461" s="24"/>
      <c r="E461" s="24"/>
      <c r="F461" s="24"/>
      <c r="G461" s="25"/>
      <c r="H461" s="26"/>
      <c r="I461" s="27"/>
      <c r="J461" s="80">
        <f>SUM(J452:K460)</f>
        <v>19.810000000000002</v>
      </c>
      <c r="K461" s="81"/>
    </row>
    <row r="462" spans="1:13" ht="15" customHeight="1" x14ac:dyDescent="0.25">
      <c r="A462" s="3"/>
      <c r="B462" s="3"/>
      <c r="C462" s="3"/>
      <c r="D462" s="3"/>
      <c r="E462" s="3"/>
      <c r="F462" s="3"/>
      <c r="G462" s="3"/>
      <c r="H462" s="3"/>
      <c r="I462" s="3"/>
      <c r="J462" s="3"/>
      <c r="K462" s="3"/>
    </row>
    <row r="463" spans="1:13" ht="15" customHeight="1" x14ac:dyDescent="0.25">
      <c r="A463" s="10" t="s">
        <v>295</v>
      </c>
      <c r="B463" s="10" t="s">
        <v>31</v>
      </c>
      <c r="C463" s="82" t="s">
        <v>7</v>
      </c>
      <c r="D463" s="83"/>
      <c r="E463" s="83"/>
      <c r="F463" s="83"/>
      <c r="G463" s="6" t="s">
        <v>32</v>
      </c>
      <c r="H463" s="6" t="s">
        <v>296</v>
      </c>
      <c r="I463" s="6" t="s">
        <v>297</v>
      </c>
      <c r="J463" s="57" t="s">
        <v>9</v>
      </c>
      <c r="K463" s="58"/>
    </row>
    <row r="464" spans="1:13" ht="60" customHeight="1" x14ac:dyDescent="0.25">
      <c r="A464" s="6" t="s">
        <v>572</v>
      </c>
      <c r="B464" s="28">
        <v>88830</v>
      </c>
      <c r="C464" s="91" t="str">
        <f>VLOOKUP(B464,S!$A:$D,2,FALSE)</f>
        <v>BETONEIRA CAPACIDADE NOMINAL DE 400 L, CAPACIDADE DE MISTURA 280 L, MOTOR ELÉTRICO TRIFÁSICO POTÊNCIA DE 2 CV, SEM CARREGADOR - CHP DIURNO. AF_10/2014</v>
      </c>
      <c r="D464" s="91"/>
      <c r="E464" s="91"/>
      <c r="F464" s="92"/>
      <c r="G464" s="6" t="str">
        <f>VLOOKUP(B464,S!$A:$D,3,FALSE)</f>
        <v>CHP</v>
      </c>
      <c r="H464" s="21"/>
      <c r="I464" s="21">
        <f>J469</f>
        <v>1.7</v>
      </c>
      <c r="J464" s="76"/>
      <c r="K464" s="72"/>
      <c r="L464" s="21">
        <f>VLOOKUP(B464,S!$A:$D,4,FALSE)</f>
        <v>1.7</v>
      </c>
      <c r="M464" s="6" t="str">
        <f>IF(ROUND((L464-I464),2)=0,"OK, confere com a tabela.",IF(ROUND((L464-I464),2)&lt;0,"ACIMA ("&amp;TEXT(ROUND(I464*100/L464,4),"0,0000")&amp;" %) da tabela.","ABAIXO ("&amp;TEXT(ROUND(I464*100/L464,4),"0,0000")&amp;" %) da tabela."))</f>
        <v>OK, confere com a tabela.</v>
      </c>
    </row>
    <row r="465" spans="1:13" ht="60" customHeight="1" x14ac:dyDescent="0.25">
      <c r="A465" s="16" t="s">
        <v>302</v>
      </c>
      <c r="B465" s="20">
        <v>88826</v>
      </c>
      <c r="C465" s="77" t="str">
        <f>VLOOKUP(B465,IF(A465="COMPOSICAO",S!$A:$D,I!$A:$D),2,FALSE)</f>
        <v>BETONEIRA CAPACIDADE NOMINAL DE 400 L, CAPACIDADE DE MISTURA 280 L, MOTOR ELÉTRICO TRIFÁSICO POTÊNCIA DE 2 CV, SEM CARREGADOR - DEPRECIAÇÃO. AF_10/2014</v>
      </c>
      <c r="D465" s="77"/>
      <c r="E465" s="77"/>
      <c r="F465" s="77"/>
      <c r="G465" s="16" t="str">
        <f>VLOOKUP(B465,IF(A465="COMPOSICAO",S!$A:$D,I!$A:$D),3,FALSE)</f>
        <v>H</v>
      </c>
      <c r="H465" s="17">
        <v>1</v>
      </c>
      <c r="I465" s="17">
        <f>IF(A465="COMPOSICAO",VLOOKUP("TOTAL - "&amp;B465,COMPOSICAO_AUX_4!$A:$J,10,FALSE),VLOOKUP(B465,I!$A:$D,4,FALSE))</f>
        <v>0.37</v>
      </c>
      <c r="J465" s="80">
        <f>TRUNC(H465*I465,2)</f>
        <v>0.37</v>
      </c>
      <c r="K465" s="81"/>
    </row>
    <row r="466" spans="1:13" ht="60" customHeight="1" x14ac:dyDescent="0.25">
      <c r="A466" s="16" t="s">
        <v>302</v>
      </c>
      <c r="B466" s="20">
        <v>88827</v>
      </c>
      <c r="C466" s="77" t="str">
        <f>VLOOKUP(B466,IF(A466="COMPOSICAO",S!$A:$D,I!$A:$D),2,FALSE)</f>
        <v>BETONEIRA CAPACIDADE NOMINAL DE 400 L, CAPACIDADE DE MISTURA 280 L, MOTOR ELÉTRICO TRIFÁSICO POTÊNCIA DE 2 CV, SEM CARREGADOR - JUROS. AF_10/2014</v>
      </c>
      <c r="D466" s="77"/>
      <c r="E466" s="77"/>
      <c r="F466" s="77"/>
      <c r="G466" s="16" t="str">
        <f>VLOOKUP(B466,IF(A466="COMPOSICAO",S!$A:$D,I!$A:$D),3,FALSE)</f>
        <v>H</v>
      </c>
      <c r="H466" s="17">
        <v>1</v>
      </c>
      <c r="I466" s="17">
        <f>IF(A466="COMPOSICAO",VLOOKUP("TOTAL - "&amp;B466,COMPOSICAO_AUX_4!$A:$J,10,FALSE),VLOOKUP(B466,I!$A:$D,4,FALSE))</f>
        <v>0.04</v>
      </c>
      <c r="J466" s="80">
        <f>TRUNC(H466*I466,2)</f>
        <v>0.04</v>
      </c>
      <c r="K466" s="81"/>
    </row>
    <row r="467" spans="1:13" ht="60" customHeight="1" x14ac:dyDescent="0.25">
      <c r="A467" s="16" t="s">
        <v>302</v>
      </c>
      <c r="B467" s="20">
        <v>88828</v>
      </c>
      <c r="C467" s="77" t="str">
        <f>VLOOKUP(B467,IF(A467="COMPOSICAO",S!$A:$D,I!$A:$D),2,FALSE)</f>
        <v>BETONEIRA CAPACIDADE NOMINAL DE 400 L, CAPACIDADE DE MISTURA 280 L, MOTOR ELÉTRICO TRIFÁSICO POTÊNCIA DE 2 CV, SEM CARREGADOR - MANUTENÇÃO. AF_10/2014</v>
      </c>
      <c r="D467" s="77"/>
      <c r="E467" s="77"/>
      <c r="F467" s="77"/>
      <c r="G467" s="16" t="str">
        <f>VLOOKUP(B467,IF(A467="COMPOSICAO",S!$A:$D,I!$A:$D),3,FALSE)</f>
        <v>H</v>
      </c>
      <c r="H467" s="17">
        <v>1</v>
      </c>
      <c r="I467" s="17">
        <f>IF(A467="COMPOSICAO",VLOOKUP("TOTAL - "&amp;B467,COMPOSICAO_AUX_4!$A:$J,10,FALSE),VLOOKUP(B467,I!$A:$D,4,FALSE))</f>
        <v>0.34</v>
      </c>
      <c r="J467" s="80">
        <f>TRUNC(H467*I467,2)</f>
        <v>0.34</v>
      </c>
      <c r="K467" s="81"/>
    </row>
    <row r="468" spans="1:13" ht="60" customHeight="1" x14ac:dyDescent="0.25">
      <c r="A468" s="16" t="s">
        <v>302</v>
      </c>
      <c r="B468" s="20">
        <v>88829</v>
      </c>
      <c r="C468" s="77" t="str">
        <f>VLOOKUP(B468,IF(A468="COMPOSICAO",S!$A:$D,I!$A:$D),2,FALSE)</f>
        <v>BETONEIRA CAPACIDADE NOMINAL DE 400 L, CAPACIDADE DE MISTURA 280 L, MOTOR ELÉTRICO TRIFÁSICO POTÊNCIA DE 2 CV, SEM CARREGADOR - MATERIAIS NA OPERAÇÃO. AF_10/2014</v>
      </c>
      <c r="D468" s="77"/>
      <c r="E468" s="77"/>
      <c r="F468" s="77"/>
      <c r="G468" s="16" t="str">
        <f>VLOOKUP(B468,IF(A468="COMPOSICAO",S!$A:$D,I!$A:$D),3,FALSE)</f>
        <v>H</v>
      </c>
      <c r="H468" s="17">
        <v>1</v>
      </c>
      <c r="I468" s="17">
        <f>IF(A468="COMPOSICAO",VLOOKUP("TOTAL - "&amp;B468,COMPOSICAO_AUX_4!$A:$J,10,FALSE),VLOOKUP(B468,I!$A:$D,4,FALSE))</f>
        <v>0.95</v>
      </c>
      <c r="J468" s="80">
        <f>TRUNC(H468*I468,2)</f>
        <v>0.95</v>
      </c>
      <c r="K468" s="81"/>
    </row>
    <row r="469" spans="1:13" ht="15" customHeight="1" x14ac:dyDescent="0.25">
      <c r="A469" s="23" t="s">
        <v>736</v>
      </c>
      <c r="B469" s="24"/>
      <c r="C469" s="24"/>
      <c r="D469" s="24"/>
      <c r="E469" s="24"/>
      <c r="F469" s="24"/>
      <c r="G469" s="25"/>
      <c r="H469" s="26"/>
      <c r="I469" s="27"/>
      <c r="J469" s="80">
        <f>SUM(J464:K468)</f>
        <v>1.7</v>
      </c>
      <c r="K469" s="81"/>
    </row>
    <row r="470" spans="1:13" ht="15" customHeight="1" x14ac:dyDescent="0.25">
      <c r="A470" s="3"/>
      <c r="B470" s="3"/>
      <c r="C470" s="3"/>
      <c r="D470" s="3"/>
      <c r="E470" s="3"/>
      <c r="F470" s="3"/>
      <c r="G470" s="3"/>
      <c r="H470" s="3"/>
      <c r="I470" s="3"/>
      <c r="J470" s="3"/>
      <c r="K470" s="3"/>
    </row>
    <row r="471" spans="1:13" ht="15" customHeight="1" x14ac:dyDescent="0.25">
      <c r="A471" s="10" t="s">
        <v>295</v>
      </c>
      <c r="B471" s="10" t="s">
        <v>31</v>
      </c>
      <c r="C471" s="82" t="s">
        <v>7</v>
      </c>
      <c r="D471" s="83"/>
      <c r="E471" s="83"/>
      <c r="F471" s="83"/>
      <c r="G471" s="6" t="s">
        <v>32</v>
      </c>
      <c r="H471" s="6" t="s">
        <v>296</v>
      </c>
      <c r="I471" s="6" t="s">
        <v>297</v>
      </c>
      <c r="J471" s="57" t="s">
        <v>9</v>
      </c>
      <c r="K471" s="58"/>
    </row>
    <row r="472" spans="1:13" ht="60" customHeight="1" x14ac:dyDescent="0.25">
      <c r="A472" s="6" t="s">
        <v>572</v>
      </c>
      <c r="B472" s="28">
        <v>88831</v>
      </c>
      <c r="C472" s="91" t="str">
        <f>VLOOKUP(B472,S!$A:$D,2,FALSE)</f>
        <v>BETONEIRA CAPACIDADE NOMINAL DE 400 L, CAPACIDADE DE MISTURA 280 L, MOTOR ELÉTRICO TRIFÁSICO POTÊNCIA DE 2 CV, SEM CARREGADOR - CHI DIURNO. AF_10/2014</v>
      </c>
      <c r="D472" s="91"/>
      <c r="E472" s="91"/>
      <c r="F472" s="92"/>
      <c r="G472" s="6" t="str">
        <f>VLOOKUP(B472,S!$A:$D,3,FALSE)</f>
        <v>CHI</v>
      </c>
      <c r="H472" s="21"/>
      <c r="I472" s="21">
        <f>J475</f>
        <v>0.41</v>
      </c>
      <c r="J472" s="76"/>
      <c r="K472" s="72"/>
      <c r="L472" s="21">
        <f>VLOOKUP(B472,S!$A:$D,4,FALSE)</f>
        <v>0.41</v>
      </c>
      <c r="M472" s="6" t="str">
        <f>IF(ROUND((L472-I472),2)=0,"OK, confere com a tabela.",IF(ROUND((L472-I472),2)&lt;0,"ACIMA ("&amp;TEXT(ROUND(I472*100/L472,4),"0,0000")&amp;" %) da tabela.","ABAIXO ("&amp;TEXT(ROUND(I472*100/L472,4),"0,0000")&amp;" %) da tabela."))</f>
        <v>OK, confere com a tabela.</v>
      </c>
    </row>
    <row r="473" spans="1:13" ht="60" customHeight="1" x14ac:dyDescent="0.25">
      <c r="A473" s="16" t="s">
        <v>302</v>
      </c>
      <c r="B473" s="20">
        <v>88826</v>
      </c>
      <c r="C473" s="77" t="str">
        <f>VLOOKUP(B473,IF(A473="COMPOSICAO",S!$A:$D,I!$A:$D),2,FALSE)</f>
        <v>BETONEIRA CAPACIDADE NOMINAL DE 400 L, CAPACIDADE DE MISTURA 280 L, MOTOR ELÉTRICO TRIFÁSICO POTÊNCIA DE 2 CV, SEM CARREGADOR - DEPRECIAÇÃO. AF_10/2014</v>
      </c>
      <c r="D473" s="77"/>
      <c r="E473" s="77"/>
      <c r="F473" s="77"/>
      <c r="G473" s="16" t="str">
        <f>VLOOKUP(B473,IF(A473="COMPOSICAO",S!$A:$D,I!$A:$D),3,FALSE)</f>
        <v>H</v>
      </c>
      <c r="H473" s="17">
        <v>1</v>
      </c>
      <c r="I473" s="17">
        <f>IF(A473="COMPOSICAO",VLOOKUP("TOTAL - "&amp;B473,COMPOSICAO_AUX_4!$A:$J,10,FALSE),VLOOKUP(B473,I!$A:$D,4,FALSE))</f>
        <v>0.37</v>
      </c>
      <c r="J473" s="80">
        <f>TRUNC(H473*I473,2)</f>
        <v>0.37</v>
      </c>
      <c r="K473" s="81"/>
    </row>
    <row r="474" spans="1:13" ht="60" customHeight="1" x14ac:dyDescent="0.25">
      <c r="A474" s="16" t="s">
        <v>302</v>
      </c>
      <c r="B474" s="20">
        <v>88827</v>
      </c>
      <c r="C474" s="77" t="str">
        <f>VLOOKUP(B474,IF(A474="COMPOSICAO",S!$A:$D,I!$A:$D),2,FALSE)</f>
        <v>BETONEIRA CAPACIDADE NOMINAL DE 400 L, CAPACIDADE DE MISTURA 280 L, MOTOR ELÉTRICO TRIFÁSICO POTÊNCIA DE 2 CV, SEM CARREGADOR - JUROS. AF_10/2014</v>
      </c>
      <c r="D474" s="77"/>
      <c r="E474" s="77"/>
      <c r="F474" s="77"/>
      <c r="G474" s="16" t="str">
        <f>VLOOKUP(B474,IF(A474="COMPOSICAO",S!$A:$D,I!$A:$D),3,FALSE)</f>
        <v>H</v>
      </c>
      <c r="H474" s="17">
        <v>1</v>
      </c>
      <c r="I474" s="17">
        <f>IF(A474="COMPOSICAO",VLOOKUP("TOTAL - "&amp;B474,COMPOSICAO_AUX_4!$A:$J,10,FALSE),VLOOKUP(B474,I!$A:$D,4,FALSE))</f>
        <v>0.04</v>
      </c>
      <c r="J474" s="80">
        <f>TRUNC(H474*I474,2)</f>
        <v>0.04</v>
      </c>
      <c r="K474" s="81"/>
    </row>
    <row r="475" spans="1:13" ht="15" customHeight="1" x14ac:dyDescent="0.25">
      <c r="A475" s="23" t="s">
        <v>737</v>
      </c>
      <c r="B475" s="24"/>
      <c r="C475" s="24"/>
      <c r="D475" s="24"/>
      <c r="E475" s="24"/>
      <c r="F475" s="24"/>
      <c r="G475" s="25"/>
      <c r="H475" s="26"/>
      <c r="I475" s="27"/>
      <c r="J475" s="80">
        <f>SUM(J472:K474)</f>
        <v>0.41</v>
      </c>
      <c r="K475" s="81"/>
    </row>
    <row r="476" spans="1:13" ht="15" customHeight="1" x14ac:dyDescent="0.25">
      <c r="A476" s="3"/>
      <c r="B476" s="3"/>
      <c r="C476" s="3"/>
      <c r="D476" s="3"/>
      <c r="E476" s="3"/>
      <c r="F476" s="3"/>
      <c r="G476" s="3"/>
      <c r="H476" s="3"/>
      <c r="I476" s="3"/>
      <c r="J476" s="3"/>
      <c r="K476" s="3"/>
    </row>
  </sheetData>
  <sheetProtection formatCells="0" formatColumns="0" formatRows="0" insertColumns="0" insertRows="0" insertHyperlinks="0" deleteColumns="0" deleteRows="0" sort="0" autoFilter="0" pivotTables="0"/>
  <mergeCells count="768">
    <mergeCell ref="C8:F8"/>
    <mergeCell ref="J8:K8"/>
    <mergeCell ref="J9:K9"/>
    <mergeCell ref="C11:F11"/>
    <mergeCell ref="J11:K11"/>
    <mergeCell ref="C12:F12"/>
    <mergeCell ref="J12:K12"/>
    <mergeCell ref="A1:K1"/>
    <mergeCell ref="A2:K2"/>
    <mergeCell ref="A3:K3"/>
    <mergeCell ref="C6:F6"/>
    <mergeCell ref="J6:K6"/>
    <mergeCell ref="C7:F7"/>
    <mergeCell ref="J7:K7"/>
    <mergeCell ref="C18:F18"/>
    <mergeCell ref="J18:K18"/>
    <mergeCell ref="J19:K19"/>
    <mergeCell ref="C21:F21"/>
    <mergeCell ref="J21:K21"/>
    <mergeCell ref="C22:F22"/>
    <mergeCell ref="J22:K22"/>
    <mergeCell ref="C13:F13"/>
    <mergeCell ref="J13:K13"/>
    <mergeCell ref="J14:K14"/>
    <mergeCell ref="C16:F16"/>
    <mergeCell ref="J16:K16"/>
    <mergeCell ref="C17:F17"/>
    <mergeCell ref="J17:K17"/>
    <mergeCell ref="C28:F28"/>
    <mergeCell ref="J28:K28"/>
    <mergeCell ref="J29:K29"/>
    <mergeCell ref="C31:F31"/>
    <mergeCell ref="J31:K31"/>
    <mergeCell ref="C32:F32"/>
    <mergeCell ref="J32:K32"/>
    <mergeCell ref="C23:F23"/>
    <mergeCell ref="J23:K23"/>
    <mergeCell ref="J24:K24"/>
    <mergeCell ref="C26:F26"/>
    <mergeCell ref="J26:K26"/>
    <mergeCell ref="C27:F27"/>
    <mergeCell ref="J27:K27"/>
    <mergeCell ref="C38:F38"/>
    <mergeCell ref="J38:K38"/>
    <mergeCell ref="C39:F39"/>
    <mergeCell ref="J39:K39"/>
    <mergeCell ref="C40:F40"/>
    <mergeCell ref="J40:K40"/>
    <mergeCell ref="C33:F33"/>
    <mergeCell ref="J33:K33"/>
    <mergeCell ref="J34:K34"/>
    <mergeCell ref="C36:F36"/>
    <mergeCell ref="J36:K36"/>
    <mergeCell ref="C37:F37"/>
    <mergeCell ref="J37:K37"/>
    <mergeCell ref="C44:F44"/>
    <mergeCell ref="J44:K44"/>
    <mergeCell ref="C45:F45"/>
    <mergeCell ref="J45:K45"/>
    <mergeCell ref="J46:K46"/>
    <mergeCell ref="C48:F48"/>
    <mergeCell ref="J48:K48"/>
    <mergeCell ref="C41:F41"/>
    <mergeCell ref="J41:K41"/>
    <mergeCell ref="C42:F42"/>
    <mergeCell ref="J42:K42"/>
    <mergeCell ref="C43:F43"/>
    <mergeCell ref="J43:K43"/>
    <mergeCell ref="C52:F52"/>
    <mergeCell ref="J52:K52"/>
    <mergeCell ref="C53:F53"/>
    <mergeCell ref="J53:K53"/>
    <mergeCell ref="C54:F54"/>
    <mergeCell ref="J54:K54"/>
    <mergeCell ref="C49:F49"/>
    <mergeCell ref="J49:K49"/>
    <mergeCell ref="C50:F50"/>
    <mergeCell ref="J50:K50"/>
    <mergeCell ref="C51:F51"/>
    <mergeCell ref="J51:K51"/>
    <mergeCell ref="C58:F58"/>
    <mergeCell ref="J58:K58"/>
    <mergeCell ref="C59:F59"/>
    <mergeCell ref="J59:K59"/>
    <mergeCell ref="C60:F60"/>
    <mergeCell ref="J60:K60"/>
    <mergeCell ref="C55:F55"/>
    <mergeCell ref="J55:K55"/>
    <mergeCell ref="C56:F56"/>
    <mergeCell ref="J56:K56"/>
    <mergeCell ref="C57:F57"/>
    <mergeCell ref="J57:K57"/>
    <mergeCell ref="C64:F64"/>
    <mergeCell ref="J64:K64"/>
    <mergeCell ref="C65:F65"/>
    <mergeCell ref="J65:K65"/>
    <mergeCell ref="C66:F66"/>
    <mergeCell ref="J66:K66"/>
    <mergeCell ref="C61:F61"/>
    <mergeCell ref="J61:K61"/>
    <mergeCell ref="C62:F62"/>
    <mergeCell ref="J62:K62"/>
    <mergeCell ref="C63:F63"/>
    <mergeCell ref="J63:K63"/>
    <mergeCell ref="C72:F72"/>
    <mergeCell ref="J72:K72"/>
    <mergeCell ref="C73:F73"/>
    <mergeCell ref="J73:K73"/>
    <mergeCell ref="C74:F74"/>
    <mergeCell ref="J74:K74"/>
    <mergeCell ref="C67:F67"/>
    <mergeCell ref="J67:K67"/>
    <mergeCell ref="J68:K68"/>
    <mergeCell ref="C70:F70"/>
    <mergeCell ref="J70:K70"/>
    <mergeCell ref="C71:F71"/>
    <mergeCell ref="J71:K71"/>
    <mergeCell ref="C78:F78"/>
    <mergeCell ref="J78:K78"/>
    <mergeCell ref="C79:F79"/>
    <mergeCell ref="J79:K79"/>
    <mergeCell ref="C80:F80"/>
    <mergeCell ref="J80:K80"/>
    <mergeCell ref="C75:F75"/>
    <mergeCell ref="J75:K75"/>
    <mergeCell ref="C76:F76"/>
    <mergeCell ref="J76:K76"/>
    <mergeCell ref="C77:F77"/>
    <mergeCell ref="J77:K77"/>
    <mergeCell ref="C84:F84"/>
    <mergeCell ref="J84:K84"/>
    <mergeCell ref="C85:F85"/>
    <mergeCell ref="J85:K85"/>
    <mergeCell ref="C86:F86"/>
    <mergeCell ref="J86:K86"/>
    <mergeCell ref="C81:F81"/>
    <mergeCell ref="J81:K81"/>
    <mergeCell ref="C82:F82"/>
    <mergeCell ref="J82:K82"/>
    <mergeCell ref="C83:F83"/>
    <mergeCell ref="J83:K83"/>
    <mergeCell ref="C92:F92"/>
    <mergeCell ref="J92:K92"/>
    <mergeCell ref="C93:F93"/>
    <mergeCell ref="J93:K93"/>
    <mergeCell ref="C94:F94"/>
    <mergeCell ref="J94:K94"/>
    <mergeCell ref="C87:F87"/>
    <mergeCell ref="J87:K87"/>
    <mergeCell ref="J88:K88"/>
    <mergeCell ref="C90:F90"/>
    <mergeCell ref="J90:K90"/>
    <mergeCell ref="C91:F91"/>
    <mergeCell ref="J91:K91"/>
    <mergeCell ref="C98:F98"/>
    <mergeCell ref="J98:K98"/>
    <mergeCell ref="C99:F99"/>
    <mergeCell ref="J99:K99"/>
    <mergeCell ref="C100:F100"/>
    <mergeCell ref="J100:K100"/>
    <mergeCell ref="C95:F95"/>
    <mergeCell ref="J95:K95"/>
    <mergeCell ref="C96:F96"/>
    <mergeCell ref="J96:K96"/>
    <mergeCell ref="C97:F97"/>
    <mergeCell ref="J97:K97"/>
    <mergeCell ref="C104:F104"/>
    <mergeCell ref="J104:K104"/>
    <mergeCell ref="C105:F105"/>
    <mergeCell ref="J105:K105"/>
    <mergeCell ref="C106:F106"/>
    <mergeCell ref="J106:K106"/>
    <mergeCell ref="C101:F101"/>
    <mergeCell ref="J101:K101"/>
    <mergeCell ref="C102:F102"/>
    <mergeCell ref="J102:K102"/>
    <mergeCell ref="C103:F103"/>
    <mergeCell ref="J103:K103"/>
    <mergeCell ref="C110:F110"/>
    <mergeCell ref="J110:K110"/>
    <mergeCell ref="C111:F111"/>
    <mergeCell ref="J111:K111"/>
    <mergeCell ref="J112:K112"/>
    <mergeCell ref="C114:F114"/>
    <mergeCell ref="J114:K114"/>
    <mergeCell ref="C107:F107"/>
    <mergeCell ref="J107:K107"/>
    <mergeCell ref="C108:F108"/>
    <mergeCell ref="J108:K108"/>
    <mergeCell ref="C109:F109"/>
    <mergeCell ref="J109:K109"/>
    <mergeCell ref="C118:F118"/>
    <mergeCell ref="J118:K118"/>
    <mergeCell ref="C119:F119"/>
    <mergeCell ref="J119:K119"/>
    <mergeCell ref="C120:F120"/>
    <mergeCell ref="J120:K120"/>
    <mergeCell ref="C115:F115"/>
    <mergeCell ref="J115:K115"/>
    <mergeCell ref="C116:F116"/>
    <mergeCell ref="J116:K116"/>
    <mergeCell ref="C117:F117"/>
    <mergeCell ref="J117:K117"/>
    <mergeCell ref="C126:F126"/>
    <mergeCell ref="J126:K126"/>
    <mergeCell ref="C127:F127"/>
    <mergeCell ref="J127:K127"/>
    <mergeCell ref="C128:F128"/>
    <mergeCell ref="J128:K128"/>
    <mergeCell ref="C121:F121"/>
    <mergeCell ref="J121:K121"/>
    <mergeCell ref="J122:K122"/>
    <mergeCell ref="C124:F124"/>
    <mergeCell ref="J124:K124"/>
    <mergeCell ref="C125:F125"/>
    <mergeCell ref="J125:K125"/>
    <mergeCell ref="C132:F132"/>
    <mergeCell ref="J132:K132"/>
    <mergeCell ref="C133:F133"/>
    <mergeCell ref="J133:K133"/>
    <mergeCell ref="J134:K134"/>
    <mergeCell ref="C136:F136"/>
    <mergeCell ref="J136:K136"/>
    <mergeCell ref="C129:F129"/>
    <mergeCell ref="J129:K129"/>
    <mergeCell ref="C130:F130"/>
    <mergeCell ref="J130:K130"/>
    <mergeCell ref="C131:F131"/>
    <mergeCell ref="J131:K131"/>
    <mergeCell ref="C140:F140"/>
    <mergeCell ref="J140:K140"/>
    <mergeCell ref="C141:F141"/>
    <mergeCell ref="J141:K141"/>
    <mergeCell ref="C142:F142"/>
    <mergeCell ref="J142:K142"/>
    <mergeCell ref="C137:F137"/>
    <mergeCell ref="J137:K137"/>
    <mergeCell ref="C138:F138"/>
    <mergeCell ref="J138:K138"/>
    <mergeCell ref="C139:F139"/>
    <mergeCell ref="J139:K139"/>
    <mergeCell ref="C148:F148"/>
    <mergeCell ref="J148:K148"/>
    <mergeCell ref="C149:F149"/>
    <mergeCell ref="J149:K149"/>
    <mergeCell ref="C150:F150"/>
    <mergeCell ref="J150:K150"/>
    <mergeCell ref="J143:K143"/>
    <mergeCell ref="C145:F145"/>
    <mergeCell ref="J145:K145"/>
    <mergeCell ref="C146:F146"/>
    <mergeCell ref="J146:K146"/>
    <mergeCell ref="C147:F147"/>
    <mergeCell ref="J147:K147"/>
    <mergeCell ref="C154:F154"/>
    <mergeCell ref="J154:K154"/>
    <mergeCell ref="C155:F155"/>
    <mergeCell ref="J155:K155"/>
    <mergeCell ref="C156:F156"/>
    <mergeCell ref="J156:K156"/>
    <mergeCell ref="C151:F151"/>
    <mergeCell ref="J151:K151"/>
    <mergeCell ref="C152:F152"/>
    <mergeCell ref="J152:K152"/>
    <mergeCell ref="C153:F153"/>
    <mergeCell ref="J153:K153"/>
    <mergeCell ref="C160:F160"/>
    <mergeCell ref="J160:K160"/>
    <mergeCell ref="C161:F161"/>
    <mergeCell ref="J161:K161"/>
    <mergeCell ref="C162:F162"/>
    <mergeCell ref="J162:K162"/>
    <mergeCell ref="C157:F157"/>
    <mergeCell ref="J157:K157"/>
    <mergeCell ref="C158:F158"/>
    <mergeCell ref="J158:K158"/>
    <mergeCell ref="C159:F159"/>
    <mergeCell ref="J159:K159"/>
    <mergeCell ref="C166:F166"/>
    <mergeCell ref="J166:K166"/>
    <mergeCell ref="C167:F167"/>
    <mergeCell ref="J167:K167"/>
    <mergeCell ref="C168:F168"/>
    <mergeCell ref="J168:K168"/>
    <mergeCell ref="C163:F163"/>
    <mergeCell ref="J163:K163"/>
    <mergeCell ref="C164:F164"/>
    <mergeCell ref="J164:K164"/>
    <mergeCell ref="C165:F165"/>
    <mergeCell ref="J165:K165"/>
    <mergeCell ref="J172:K172"/>
    <mergeCell ref="C174:F174"/>
    <mergeCell ref="J174:K174"/>
    <mergeCell ref="C175:F175"/>
    <mergeCell ref="J175:K175"/>
    <mergeCell ref="C176:F176"/>
    <mergeCell ref="J176:K176"/>
    <mergeCell ref="C169:F169"/>
    <mergeCell ref="J169:K169"/>
    <mergeCell ref="C170:F170"/>
    <mergeCell ref="J170:K170"/>
    <mergeCell ref="C171:F171"/>
    <mergeCell ref="J171:K171"/>
    <mergeCell ref="J180:K180"/>
    <mergeCell ref="C182:F182"/>
    <mergeCell ref="J182:K182"/>
    <mergeCell ref="C183:F183"/>
    <mergeCell ref="J183:K183"/>
    <mergeCell ref="C184:F184"/>
    <mergeCell ref="J184:K184"/>
    <mergeCell ref="C177:F177"/>
    <mergeCell ref="J177:K177"/>
    <mergeCell ref="C178:F178"/>
    <mergeCell ref="J178:K178"/>
    <mergeCell ref="C179:F179"/>
    <mergeCell ref="J179:K179"/>
    <mergeCell ref="C188:F188"/>
    <mergeCell ref="J188:K188"/>
    <mergeCell ref="J189:K189"/>
    <mergeCell ref="C191:F191"/>
    <mergeCell ref="J191:K191"/>
    <mergeCell ref="C192:F192"/>
    <mergeCell ref="J192:K192"/>
    <mergeCell ref="C185:F185"/>
    <mergeCell ref="J185:K185"/>
    <mergeCell ref="C186:F186"/>
    <mergeCell ref="J186:K186"/>
    <mergeCell ref="C187:F187"/>
    <mergeCell ref="J187:K187"/>
    <mergeCell ref="C196:F196"/>
    <mergeCell ref="J196:K196"/>
    <mergeCell ref="C197:F197"/>
    <mergeCell ref="J197:K197"/>
    <mergeCell ref="C198:F198"/>
    <mergeCell ref="J198:K198"/>
    <mergeCell ref="C193:F193"/>
    <mergeCell ref="J193:K193"/>
    <mergeCell ref="C194:F194"/>
    <mergeCell ref="J194:K194"/>
    <mergeCell ref="C195:F195"/>
    <mergeCell ref="J195:K195"/>
    <mergeCell ref="J204:K204"/>
    <mergeCell ref="C206:F206"/>
    <mergeCell ref="J206:K206"/>
    <mergeCell ref="C207:F207"/>
    <mergeCell ref="J207:K207"/>
    <mergeCell ref="C208:F208"/>
    <mergeCell ref="J208:K208"/>
    <mergeCell ref="J199:K199"/>
    <mergeCell ref="C201:F201"/>
    <mergeCell ref="J201:K201"/>
    <mergeCell ref="C202:F202"/>
    <mergeCell ref="J202:K202"/>
    <mergeCell ref="C203:F203"/>
    <mergeCell ref="J203:K203"/>
    <mergeCell ref="J214:K214"/>
    <mergeCell ref="C216:F216"/>
    <mergeCell ref="J216:K216"/>
    <mergeCell ref="C217:F217"/>
    <mergeCell ref="J217:K217"/>
    <mergeCell ref="C218:F218"/>
    <mergeCell ref="J218:K218"/>
    <mergeCell ref="J209:K209"/>
    <mergeCell ref="C211:F211"/>
    <mergeCell ref="J211:K211"/>
    <mergeCell ref="C212:F212"/>
    <mergeCell ref="J212:K212"/>
    <mergeCell ref="C213:F213"/>
    <mergeCell ref="J213:K213"/>
    <mergeCell ref="C224:F224"/>
    <mergeCell ref="J224:K224"/>
    <mergeCell ref="C225:F225"/>
    <mergeCell ref="J225:K225"/>
    <mergeCell ref="C226:F226"/>
    <mergeCell ref="J226:K226"/>
    <mergeCell ref="J219:K219"/>
    <mergeCell ref="C221:F221"/>
    <mergeCell ref="J221:K221"/>
    <mergeCell ref="C222:F222"/>
    <mergeCell ref="J222:K222"/>
    <mergeCell ref="C223:F223"/>
    <mergeCell ref="J223:K223"/>
    <mergeCell ref="C230:F230"/>
    <mergeCell ref="J230:K230"/>
    <mergeCell ref="J231:K231"/>
    <mergeCell ref="C233:F233"/>
    <mergeCell ref="J233:K233"/>
    <mergeCell ref="C234:F234"/>
    <mergeCell ref="J234:K234"/>
    <mergeCell ref="C227:F227"/>
    <mergeCell ref="J227:K227"/>
    <mergeCell ref="C228:F228"/>
    <mergeCell ref="J228:K228"/>
    <mergeCell ref="C229:F229"/>
    <mergeCell ref="J229:K229"/>
    <mergeCell ref="C238:F238"/>
    <mergeCell ref="J238:K238"/>
    <mergeCell ref="C239:F239"/>
    <mergeCell ref="J239:K239"/>
    <mergeCell ref="C240:F240"/>
    <mergeCell ref="J240:K240"/>
    <mergeCell ref="C235:F235"/>
    <mergeCell ref="J235:K235"/>
    <mergeCell ref="C236:F236"/>
    <mergeCell ref="J236:K236"/>
    <mergeCell ref="C237:F237"/>
    <mergeCell ref="J237:K237"/>
    <mergeCell ref="C246:F246"/>
    <mergeCell ref="J246:K246"/>
    <mergeCell ref="C247:F247"/>
    <mergeCell ref="J247:K247"/>
    <mergeCell ref="C248:F248"/>
    <mergeCell ref="J248:K248"/>
    <mergeCell ref="C241:F241"/>
    <mergeCell ref="J241:K241"/>
    <mergeCell ref="C242:F242"/>
    <mergeCell ref="J242:K242"/>
    <mergeCell ref="J243:K243"/>
    <mergeCell ref="C245:F245"/>
    <mergeCell ref="J245:K245"/>
    <mergeCell ref="J252:K252"/>
    <mergeCell ref="C254:F254"/>
    <mergeCell ref="J254:K254"/>
    <mergeCell ref="C255:F255"/>
    <mergeCell ref="J255:K255"/>
    <mergeCell ref="C256:F256"/>
    <mergeCell ref="J256:K256"/>
    <mergeCell ref="C249:F249"/>
    <mergeCell ref="J249:K249"/>
    <mergeCell ref="C250:F250"/>
    <mergeCell ref="J250:K250"/>
    <mergeCell ref="C251:F251"/>
    <mergeCell ref="J251:K251"/>
    <mergeCell ref="C262:F262"/>
    <mergeCell ref="J262:K262"/>
    <mergeCell ref="C263:F263"/>
    <mergeCell ref="J263:K263"/>
    <mergeCell ref="J264:K264"/>
    <mergeCell ref="C266:F266"/>
    <mergeCell ref="J266:K266"/>
    <mergeCell ref="C257:F257"/>
    <mergeCell ref="J257:K257"/>
    <mergeCell ref="C258:F258"/>
    <mergeCell ref="J258:K258"/>
    <mergeCell ref="J259:K259"/>
    <mergeCell ref="C261:F261"/>
    <mergeCell ref="J261:K261"/>
    <mergeCell ref="C272:F272"/>
    <mergeCell ref="J272:K272"/>
    <mergeCell ref="C273:F273"/>
    <mergeCell ref="J273:K273"/>
    <mergeCell ref="C274:F274"/>
    <mergeCell ref="J274:K274"/>
    <mergeCell ref="C267:F267"/>
    <mergeCell ref="J267:K267"/>
    <mergeCell ref="C268:F268"/>
    <mergeCell ref="J268:K268"/>
    <mergeCell ref="J269:K269"/>
    <mergeCell ref="C271:F271"/>
    <mergeCell ref="J271:K271"/>
    <mergeCell ref="C278:F278"/>
    <mergeCell ref="J278:K278"/>
    <mergeCell ref="C279:F279"/>
    <mergeCell ref="J279:K279"/>
    <mergeCell ref="C280:F280"/>
    <mergeCell ref="J280:K280"/>
    <mergeCell ref="C275:F275"/>
    <mergeCell ref="J275:K275"/>
    <mergeCell ref="C276:F276"/>
    <mergeCell ref="J276:K276"/>
    <mergeCell ref="C277:F277"/>
    <mergeCell ref="J277:K277"/>
    <mergeCell ref="C286:F286"/>
    <mergeCell ref="J286:K286"/>
    <mergeCell ref="C287:F287"/>
    <mergeCell ref="J287:K287"/>
    <mergeCell ref="C288:F288"/>
    <mergeCell ref="J288:K288"/>
    <mergeCell ref="J281:K281"/>
    <mergeCell ref="C283:F283"/>
    <mergeCell ref="J283:K283"/>
    <mergeCell ref="C284:F284"/>
    <mergeCell ref="J284:K284"/>
    <mergeCell ref="C285:F285"/>
    <mergeCell ref="J285:K285"/>
    <mergeCell ref="C292:F292"/>
    <mergeCell ref="J292:K292"/>
    <mergeCell ref="J293:K293"/>
    <mergeCell ref="C295:F295"/>
    <mergeCell ref="J295:K295"/>
    <mergeCell ref="C296:F296"/>
    <mergeCell ref="J296:K296"/>
    <mergeCell ref="C289:F289"/>
    <mergeCell ref="J289:K289"/>
    <mergeCell ref="C290:F290"/>
    <mergeCell ref="J290:K290"/>
    <mergeCell ref="C291:F291"/>
    <mergeCell ref="J291:K291"/>
    <mergeCell ref="C302:F302"/>
    <mergeCell ref="J302:K302"/>
    <mergeCell ref="J303:K303"/>
    <mergeCell ref="C305:F305"/>
    <mergeCell ref="J305:K305"/>
    <mergeCell ref="C306:F306"/>
    <mergeCell ref="J306:K306"/>
    <mergeCell ref="C297:F297"/>
    <mergeCell ref="J297:K297"/>
    <mergeCell ref="J298:K298"/>
    <mergeCell ref="C300:F300"/>
    <mergeCell ref="J300:K300"/>
    <mergeCell ref="C301:F301"/>
    <mergeCell ref="J301:K301"/>
    <mergeCell ref="C312:F312"/>
    <mergeCell ref="J312:K312"/>
    <mergeCell ref="J313:K313"/>
    <mergeCell ref="C315:F315"/>
    <mergeCell ref="J315:K315"/>
    <mergeCell ref="C316:F316"/>
    <mergeCell ref="J316:K316"/>
    <mergeCell ref="C307:F307"/>
    <mergeCell ref="J307:K307"/>
    <mergeCell ref="J308:K308"/>
    <mergeCell ref="C310:F310"/>
    <mergeCell ref="J310:K310"/>
    <mergeCell ref="C311:F311"/>
    <mergeCell ref="J311:K311"/>
    <mergeCell ref="C322:F322"/>
    <mergeCell ref="J322:K322"/>
    <mergeCell ref="C323:F323"/>
    <mergeCell ref="J323:K323"/>
    <mergeCell ref="C324:F324"/>
    <mergeCell ref="J324:K324"/>
    <mergeCell ref="C317:F317"/>
    <mergeCell ref="J317:K317"/>
    <mergeCell ref="J318:K318"/>
    <mergeCell ref="C320:F320"/>
    <mergeCell ref="J320:K320"/>
    <mergeCell ref="C321:F321"/>
    <mergeCell ref="J321:K321"/>
    <mergeCell ref="C328:F328"/>
    <mergeCell ref="J328:K328"/>
    <mergeCell ref="C329:F329"/>
    <mergeCell ref="J329:K329"/>
    <mergeCell ref="J330:K330"/>
    <mergeCell ref="C332:F332"/>
    <mergeCell ref="J332:K332"/>
    <mergeCell ref="C325:F325"/>
    <mergeCell ref="J325:K325"/>
    <mergeCell ref="C326:F326"/>
    <mergeCell ref="J326:K326"/>
    <mergeCell ref="C327:F327"/>
    <mergeCell ref="J327:K327"/>
    <mergeCell ref="C338:F338"/>
    <mergeCell ref="J338:K338"/>
    <mergeCell ref="C339:F339"/>
    <mergeCell ref="J339:K339"/>
    <mergeCell ref="J340:K340"/>
    <mergeCell ref="C342:F342"/>
    <mergeCell ref="J342:K342"/>
    <mergeCell ref="C333:F333"/>
    <mergeCell ref="J333:K333"/>
    <mergeCell ref="C334:F334"/>
    <mergeCell ref="J334:K334"/>
    <mergeCell ref="J335:K335"/>
    <mergeCell ref="C337:F337"/>
    <mergeCell ref="J337:K337"/>
    <mergeCell ref="C348:F348"/>
    <mergeCell ref="J348:K348"/>
    <mergeCell ref="C349:F349"/>
    <mergeCell ref="J349:K349"/>
    <mergeCell ref="J350:K350"/>
    <mergeCell ref="C352:F352"/>
    <mergeCell ref="J352:K352"/>
    <mergeCell ref="C343:F343"/>
    <mergeCell ref="J343:K343"/>
    <mergeCell ref="C344:F344"/>
    <mergeCell ref="J344:K344"/>
    <mergeCell ref="J345:K345"/>
    <mergeCell ref="C347:F347"/>
    <mergeCell ref="J347:K347"/>
    <mergeCell ref="C356:F356"/>
    <mergeCell ref="J356:K356"/>
    <mergeCell ref="C357:F357"/>
    <mergeCell ref="J357:K357"/>
    <mergeCell ref="C358:F358"/>
    <mergeCell ref="J358:K358"/>
    <mergeCell ref="C353:F353"/>
    <mergeCell ref="J353:K353"/>
    <mergeCell ref="C354:F354"/>
    <mergeCell ref="J354:K354"/>
    <mergeCell ref="C355:F355"/>
    <mergeCell ref="J355:K355"/>
    <mergeCell ref="J362:K362"/>
    <mergeCell ref="C364:F364"/>
    <mergeCell ref="J364:K364"/>
    <mergeCell ref="C365:F365"/>
    <mergeCell ref="J365:K365"/>
    <mergeCell ref="C366:F366"/>
    <mergeCell ref="J366:K366"/>
    <mergeCell ref="C359:F359"/>
    <mergeCell ref="J359:K359"/>
    <mergeCell ref="C360:F360"/>
    <mergeCell ref="J360:K360"/>
    <mergeCell ref="C361:F361"/>
    <mergeCell ref="J361:K361"/>
    <mergeCell ref="J372:K372"/>
    <mergeCell ref="C374:F374"/>
    <mergeCell ref="J374:K374"/>
    <mergeCell ref="C375:F375"/>
    <mergeCell ref="J375:K375"/>
    <mergeCell ref="C376:F376"/>
    <mergeCell ref="J376:K376"/>
    <mergeCell ref="J367:K367"/>
    <mergeCell ref="C369:F369"/>
    <mergeCell ref="J369:K369"/>
    <mergeCell ref="C370:F370"/>
    <mergeCell ref="J370:K370"/>
    <mergeCell ref="C371:F371"/>
    <mergeCell ref="J371:K371"/>
    <mergeCell ref="J382:K382"/>
    <mergeCell ref="C384:F384"/>
    <mergeCell ref="J384:K384"/>
    <mergeCell ref="C385:F385"/>
    <mergeCell ref="J385:K385"/>
    <mergeCell ref="C386:F386"/>
    <mergeCell ref="J386:K386"/>
    <mergeCell ref="J377:K377"/>
    <mergeCell ref="C379:F379"/>
    <mergeCell ref="J379:K379"/>
    <mergeCell ref="C380:F380"/>
    <mergeCell ref="J380:K380"/>
    <mergeCell ref="C381:F381"/>
    <mergeCell ref="J381:K381"/>
    <mergeCell ref="J392:K392"/>
    <mergeCell ref="C394:F394"/>
    <mergeCell ref="J394:K394"/>
    <mergeCell ref="C395:F395"/>
    <mergeCell ref="J395:K395"/>
    <mergeCell ref="C396:F396"/>
    <mergeCell ref="J396:K396"/>
    <mergeCell ref="J387:K387"/>
    <mergeCell ref="C389:F389"/>
    <mergeCell ref="J389:K389"/>
    <mergeCell ref="C390:F390"/>
    <mergeCell ref="J390:K390"/>
    <mergeCell ref="C391:F391"/>
    <mergeCell ref="J391:K391"/>
    <mergeCell ref="J402:K402"/>
    <mergeCell ref="C404:F404"/>
    <mergeCell ref="J404:K404"/>
    <mergeCell ref="C405:F405"/>
    <mergeCell ref="J405:K405"/>
    <mergeCell ref="C406:F406"/>
    <mergeCell ref="J406:K406"/>
    <mergeCell ref="J397:K397"/>
    <mergeCell ref="C399:F399"/>
    <mergeCell ref="J399:K399"/>
    <mergeCell ref="C400:F400"/>
    <mergeCell ref="J400:K400"/>
    <mergeCell ref="C401:F401"/>
    <mergeCell ref="J401:K401"/>
    <mergeCell ref="C412:F412"/>
    <mergeCell ref="J412:K412"/>
    <mergeCell ref="C413:F413"/>
    <mergeCell ref="J413:K413"/>
    <mergeCell ref="C414:F414"/>
    <mergeCell ref="J414:K414"/>
    <mergeCell ref="J407:K407"/>
    <mergeCell ref="C409:F409"/>
    <mergeCell ref="J409:K409"/>
    <mergeCell ref="C410:F410"/>
    <mergeCell ref="J410:K410"/>
    <mergeCell ref="C411:F411"/>
    <mergeCell ref="J411:K411"/>
    <mergeCell ref="C418:F418"/>
    <mergeCell ref="J418:K418"/>
    <mergeCell ref="J419:K419"/>
    <mergeCell ref="C421:F421"/>
    <mergeCell ref="J421:K421"/>
    <mergeCell ref="C422:F422"/>
    <mergeCell ref="J422:K422"/>
    <mergeCell ref="C415:F415"/>
    <mergeCell ref="J415:K415"/>
    <mergeCell ref="C416:F416"/>
    <mergeCell ref="J416:K416"/>
    <mergeCell ref="C417:F417"/>
    <mergeCell ref="J417:K417"/>
    <mergeCell ref="C428:F428"/>
    <mergeCell ref="J428:K428"/>
    <mergeCell ref="J429:K429"/>
    <mergeCell ref="C431:F431"/>
    <mergeCell ref="J431:K431"/>
    <mergeCell ref="C432:F432"/>
    <mergeCell ref="J432:K432"/>
    <mergeCell ref="C423:F423"/>
    <mergeCell ref="J423:K423"/>
    <mergeCell ref="J424:K424"/>
    <mergeCell ref="C426:F426"/>
    <mergeCell ref="J426:K426"/>
    <mergeCell ref="C427:F427"/>
    <mergeCell ref="J427:K427"/>
    <mergeCell ref="C438:F438"/>
    <mergeCell ref="J438:K438"/>
    <mergeCell ref="J439:K439"/>
    <mergeCell ref="C441:F441"/>
    <mergeCell ref="J441:K441"/>
    <mergeCell ref="C442:F442"/>
    <mergeCell ref="J442:K442"/>
    <mergeCell ref="C433:F433"/>
    <mergeCell ref="J433:K433"/>
    <mergeCell ref="J434:K434"/>
    <mergeCell ref="C436:F436"/>
    <mergeCell ref="J436:K436"/>
    <mergeCell ref="C437:F437"/>
    <mergeCell ref="J437:K437"/>
    <mergeCell ref="C448:F448"/>
    <mergeCell ref="J448:K448"/>
    <mergeCell ref="J449:K449"/>
    <mergeCell ref="C451:F451"/>
    <mergeCell ref="J451:K451"/>
    <mergeCell ref="C452:F452"/>
    <mergeCell ref="J452:K452"/>
    <mergeCell ref="C443:F443"/>
    <mergeCell ref="J443:K443"/>
    <mergeCell ref="J444:K444"/>
    <mergeCell ref="C446:F446"/>
    <mergeCell ref="J446:K446"/>
    <mergeCell ref="C447:F447"/>
    <mergeCell ref="J447:K447"/>
    <mergeCell ref="C456:F456"/>
    <mergeCell ref="J456:K456"/>
    <mergeCell ref="C457:F457"/>
    <mergeCell ref="J457:K457"/>
    <mergeCell ref="C458:F458"/>
    <mergeCell ref="J458:K458"/>
    <mergeCell ref="C453:F453"/>
    <mergeCell ref="J453:K453"/>
    <mergeCell ref="C454:F454"/>
    <mergeCell ref="J454:K454"/>
    <mergeCell ref="C455:F455"/>
    <mergeCell ref="J455:K455"/>
    <mergeCell ref="C464:F464"/>
    <mergeCell ref="J464:K464"/>
    <mergeCell ref="C465:F465"/>
    <mergeCell ref="J465:K465"/>
    <mergeCell ref="C466:F466"/>
    <mergeCell ref="J466:K466"/>
    <mergeCell ref="C459:F459"/>
    <mergeCell ref="J459:K459"/>
    <mergeCell ref="C460:F460"/>
    <mergeCell ref="J460:K460"/>
    <mergeCell ref="J461:K461"/>
    <mergeCell ref="C463:F463"/>
    <mergeCell ref="J463:K463"/>
    <mergeCell ref="J475:K475"/>
    <mergeCell ref="C472:F472"/>
    <mergeCell ref="J472:K472"/>
    <mergeCell ref="C473:F473"/>
    <mergeCell ref="J473:K473"/>
    <mergeCell ref="C474:F474"/>
    <mergeCell ref="J474:K474"/>
    <mergeCell ref="C467:F467"/>
    <mergeCell ref="J467:K467"/>
    <mergeCell ref="C468:F468"/>
    <mergeCell ref="J468:K468"/>
    <mergeCell ref="J469:K469"/>
    <mergeCell ref="C471:F471"/>
    <mergeCell ref="J471:K471"/>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15</vt:i4>
      </vt:variant>
    </vt:vector>
  </HeadingPairs>
  <TitlesOfParts>
    <vt:vector size="32" baseType="lpstr">
      <vt:lpstr>DADOS</vt:lpstr>
      <vt:lpstr>RESUMO</vt:lpstr>
      <vt:lpstr>CRONOGRAMA</vt:lpstr>
      <vt:lpstr>ORCAMENTO</vt:lpstr>
      <vt:lpstr>MEMORIA</vt:lpstr>
      <vt:lpstr>COMPOSICAO</vt:lpstr>
      <vt:lpstr>COMPOSICAO_AUX_1</vt:lpstr>
      <vt:lpstr>COMPOSICAO_AUX_2</vt:lpstr>
      <vt:lpstr>COMPOSICAO_AUX_3</vt:lpstr>
      <vt:lpstr>COMPOSICAO_AUX_4</vt:lpstr>
      <vt:lpstr>COMPOSICAO_AUX_5</vt:lpstr>
      <vt:lpstr>ABCS</vt:lpstr>
      <vt:lpstr>QUAL. TEC.</vt:lpstr>
      <vt:lpstr>BDI</vt:lpstr>
      <vt:lpstr>LS</vt:lpstr>
      <vt:lpstr>S</vt:lpstr>
      <vt:lpstr>I</vt:lpstr>
      <vt:lpstr>BDI!Area_de_impressao</vt:lpstr>
      <vt:lpstr>COMPOSICAO!Area_de_impressao</vt:lpstr>
      <vt:lpstr>DADOS!Area_de_impressao</vt:lpstr>
      <vt:lpstr>MEMORIA!Area_de_impressao</vt:lpstr>
      <vt:lpstr>ORCAMENTO!Area_de_impressao</vt:lpstr>
      <vt:lpstr>BDI</vt:lpstr>
      <vt:lpstr>CIDADE</vt:lpstr>
      <vt:lpstr>FONTE</vt:lpstr>
      <vt:lpstr>LEI</vt:lpstr>
      <vt:lpstr>OBRA</vt:lpstr>
      <vt:lpstr>ONERA</vt:lpstr>
      <vt:lpstr>ABCS!Titulos_de_impressao</vt:lpstr>
      <vt:lpstr>COMPOSICAO!Titulos_de_impressao</vt:lpstr>
      <vt:lpstr>MEMORIA!Titulos_de_impressao</vt:lpstr>
      <vt:lpstr>ORCAMENTO!Titulos_de_impressao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OrÃ§amentÃ¡ria</dc:title>
  <dc:subject>OrÃ§aamento de Obra</dc:subject>
  <dc:creator>jonataseng</dc:creator>
  <cp:keywords>planilha xls</cp:keywords>
  <dc:description>Gerada em www.meusinapi.com.br</dc:description>
  <cp:lastModifiedBy>JONATAS</cp:lastModifiedBy>
  <dcterms:created xsi:type="dcterms:W3CDTF">2021-09-06T10:46:54Z</dcterms:created>
  <dcterms:modified xsi:type="dcterms:W3CDTF">2021-09-06T15:55:21Z</dcterms:modified>
  <cp:category>Planilhas</cp:category>
</cp:coreProperties>
</file>